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825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<sst xmlns="http://schemas.openxmlformats.org/spreadsheetml/2006/main" count="35" uniqueCount="34">
  <si>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tabela I</t>
  </si>
  <si>
    <t>tabela II</t>
  </si>
  <si>
    <t>tabela III</t>
  </si>
  <si>
    <t>tabela V</t>
  </si>
  <si>
    <t>barrilha</t>
  </si>
  <si>
    <t>sulfato</t>
  </si>
  <si>
    <t>malte</t>
  </si>
  <si>
    <t>cevada</t>
  </si>
  <si>
    <t>totais</t>
  </si>
  <si>
    <t>canal navios de turismo</t>
  </si>
  <si>
    <t>operações de apoio portuário</t>
  </si>
  <si>
    <t xml:space="preserve"> </t>
  </si>
  <si>
    <t>tonelagem movimentada</t>
  </si>
  <si>
    <t>média R$/ton</t>
  </si>
  <si>
    <t>demonstração gráfica - receita por produto</t>
  </si>
  <si>
    <t>Canal navios tanque</t>
  </si>
  <si>
    <t>total R$</t>
  </si>
  <si>
    <t>QUANTIDADE</t>
  </si>
  <si>
    <t>% participação</t>
  </si>
  <si>
    <t>Guarda de equip.proprios + BOX</t>
  </si>
  <si>
    <t>açucar em sacas</t>
  </si>
  <si>
    <t>silicato de vidro</t>
  </si>
  <si>
    <t>receitas administ. E financeiras</t>
  </si>
  <si>
    <t>tabela VII</t>
  </si>
  <si>
    <t>tabela IX</t>
  </si>
  <si>
    <t>tabela VIII</t>
  </si>
  <si>
    <t>Phosfato monoamônico</t>
  </si>
  <si>
    <t>operações de apoio marítimo</t>
  </si>
  <si>
    <t>barrilha em BAGS</t>
  </si>
  <si>
    <t>receitas patrimoniais-ÁREAS</t>
  </si>
  <si>
    <t>gado bovino vivo</t>
  </si>
  <si>
    <t>madeira em pallets</t>
  </si>
  <si>
    <r>
      <rPr>
        <b/>
        <sz val="16"/>
        <color indexed="8"/>
        <rFont val="Calibri"/>
        <family val="2"/>
      </rPr>
      <t>2022</t>
    </r>
    <r>
      <rPr>
        <b/>
        <sz val="11"/>
        <color indexed="8"/>
        <rFont val="Calibri"/>
        <family val="2"/>
      </rPr>
      <t xml:space="preserve"> - Receita faturada por produto / tabela - média faturada por produto -  de ficha 051/21 a 055/22 </t>
    </r>
  </si>
  <si>
    <t>Operações de cabotagem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</si>
</sst>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_-;\-* #,##0.000_-;_-* &quot;-&quot;???_-;_-@_-"/>
    <numFmt numFmtId="166" formatCode="_-* #,##0.0_-;\-* #,##0.0_-;_-* &quot;-&quot;??_-;_-@_-"/>
    <numFmt numFmtId="167" formatCode="_-* #,##0_-;\-* #,##0_-;_-* &quot;-&quot;??_-;_-@_-"/>
    <numFmt numFmtId="168" formatCode="0.0%"/>
    <numFmt numFmtId="169" formatCode="_-* #,##0.0000_-;\-* #,##0.0000_-;_-* &quot;-&quot;??_-;_-@_-"/>
    <numFmt numFmtId="170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62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4" tint="-0.24997000396251678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10" xfId="51" applyFont="1" applyBorder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164" fontId="0" fillId="0" borderId="10" xfId="51" applyNumberFormat="1" applyFont="1" applyBorder="1" applyAlignment="1">
      <alignment/>
    </xf>
    <xf numFmtId="164" fontId="0" fillId="0" borderId="0" xfId="51" applyNumberFormat="1" applyFont="1" applyAlignment="1">
      <alignment/>
    </xf>
    <xf numFmtId="165" fontId="0" fillId="0" borderId="0" xfId="0" applyNumberFormat="1" applyAlignment="1">
      <alignment/>
    </xf>
    <xf numFmtId="43" fontId="0" fillId="0" borderId="0" xfId="51" applyFont="1" applyAlignment="1">
      <alignment/>
    </xf>
    <xf numFmtId="164" fontId="0" fillId="33" borderId="10" xfId="51" applyNumberFormat="1" applyFont="1" applyFill="1" applyBorder="1" applyAlignment="1">
      <alignment/>
    </xf>
    <xf numFmtId="43" fontId="0" fillId="0" borderId="0" xfId="51" applyFont="1" applyAlignment="1">
      <alignment/>
    </xf>
    <xf numFmtId="0" fontId="0" fillId="0" borderId="0" xfId="0" applyFill="1" applyBorder="1" applyAlignment="1">
      <alignment horizontal="center"/>
    </xf>
    <xf numFmtId="43" fontId="0" fillId="0" borderId="0" xfId="51" applyFont="1" applyAlignment="1">
      <alignment/>
    </xf>
    <xf numFmtId="43" fontId="0" fillId="0" borderId="10" xfId="51" applyFont="1" applyBorder="1" applyAlignment="1">
      <alignment/>
    </xf>
    <xf numFmtId="43" fontId="0" fillId="0" borderId="10" xfId="51" applyFont="1" applyBorder="1" applyAlignment="1">
      <alignment/>
    </xf>
    <xf numFmtId="43" fontId="0" fillId="0" borderId="10" xfId="51" applyFont="1" applyFill="1" applyBorder="1" applyAlignment="1">
      <alignment/>
    </xf>
    <xf numFmtId="43" fontId="0" fillId="33" borderId="10" xfId="51" applyFont="1" applyFill="1" applyBorder="1" applyAlignment="1">
      <alignment/>
    </xf>
    <xf numFmtId="164" fontId="0" fillId="33" borderId="10" xfId="51" applyNumberFormat="1" applyFont="1" applyFill="1" applyBorder="1" applyAlignment="1">
      <alignment/>
    </xf>
    <xf numFmtId="43" fontId="0" fillId="0" borderId="10" xfId="51" applyFont="1" applyBorder="1" applyAlignment="1">
      <alignment/>
    </xf>
    <xf numFmtId="0" fontId="0" fillId="0" borderId="12" xfId="0" applyBorder="1" applyAlignment="1">
      <alignment/>
    </xf>
    <xf numFmtId="43" fontId="0" fillId="0" borderId="12" xfId="0" applyNumberFormat="1" applyBorder="1" applyAlignment="1">
      <alignment/>
    </xf>
    <xf numFmtId="0" fontId="38" fillId="0" borderId="13" xfId="0" applyFont="1" applyFill="1" applyBorder="1" applyAlignment="1">
      <alignment horizontal="center"/>
    </xf>
    <xf numFmtId="10" fontId="0" fillId="0" borderId="0" xfId="49" applyNumberFormat="1" applyFont="1" applyAlignment="1">
      <alignment/>
    </xf>
    <xf numFmtId="10" fontId="0" fillId="0" borderId="0" xfId="0" applyNumberFormat="1" applyAlignment="1">
      <alignment/>
    </xf>
    <xf numFmtId="43" fontId="0" fillId="0" borderId="10" xfId="51" applyFont="1" applyBorder="1" applyAlignment="1">
      <alignment/>
    </xf>
    <xf numFmtId="0" fontId="0" fillId="0" borderId="10" xfId="0" applyFill="1" applyBorder="1" applyAlignment="1">
      <alignment horizontal="center"/>
    </xf>
    <xf numFmtId="43" fontId="0" fillId="0" borderId="14" xfId="51" applyFont="1" applyBorder="1" applyAlignment="1">
      <alignment/>
    </xf>
    <xf numFmtId="43" fontId="0" fillId="0" borderId="15" xfId="51" applyFont="1" applyBorder="1" applyAlignment="1">
      <alignment/>
    </xf>
    <xf numFmtId="164" fontId="0" fillId="33" borderId="10" xfId="51" applyNumberFormat="1" applyFont="1" applyFill="1" applyBorder="1" applyAlignment="1">
      <alignment/>
    </xf>
    <xf numFmtId="43" fontId="0" fillId="0" borderId="10" xfId="51" applyFont="1" applyBorder="1" applyAlignment="1">
      <alignment/>
    </xf>
    <xf numFmtId="43" fontId="0" fillId="0" borderId="0" xfId="51" applyFont="1" applyAlignment="1">
      <alignment/>
    </xf>
    <xf numFmtId="43" fontId="0" fillId="0" borderId="0" xfId="51" applyFont="1" applyBorder="1" applyAlignment="1">
      <alignment/>
    </xf>
    <xf numFmtId="0" fontId="38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3" fontId="0" fillId="4" borderId="11" xfId="0" applyNumberFormat="1" applyFill="1" applyBorder="1" applyAlignment="1">
      <alignment/>
    </xf>
    <xf numFmtId="43" fontId="0" fillId="4" borderId="11" xfId="51" applyFont="1" applyFill="1" applyBorder="1" applyAlignment="1">
      <alignment/>
    </xf>
    <xf numFmtId="43" fontId="0" fillId="4" borderId="16" xfId="51" applyFont="1" applyFill="1" applyBorder="1" applyAlignment="1">
      <alignment/>
    </xf>
    <xf numFmtId="43" fontId="38" fillId="4" borderId="11" xfId="0" applyNumberFormat="1" applyFont="1" applyFill="1" applyBorder="1" applyAlignment="1">
      <alignment/>
    </xf>
    <xf numFmtId="43" fontId="0" fillId="0" borderId="0" xfId="49" applyNumberFormat="1" applyFont="1" applyAlignment="1">
      <alignment/>
    </xf>
    <xf numFmtId="0" fontId="0" fillId="12" borderId="0" xfId="0" applyFill="1" applyBorder="1" applyAlignment="1">
      <alignment/>
    </xf>
    <xf numFmtId="43" fontId="0" fillId="12" borderId="0" xfId="51" applyFont="1" applyFill="1" applyBorder="1" applyAlignment="1">
      <alignment/>
    </xf>
    <xf numFmtId="165" fontId="0" fillId="12" borderId="0" xfId="0" applyNumberFormat="1" applyFill="1" applyBorder="1" applyAlignment="1">
      <alignment/>
    </xf>
    <xf numFmtId="43" fontId="0" fillId="0" borderId="10" xfId="51" applyFont="1" applyBorder="1" applyAlignment="1">
      <alignment/>
    </xf>
    <xf numFmtId="43" fontId="0" fillId="0" borderId="10" xfId="51" applyFont="1" applyBorder="1" applyAlignment="1">
      <alignment/>
    </xf>
    <xf numFmtId="43" fontId="0" fillId="0" borderId="15" xfId="51" applyFont="1" applyBorder="1" applyAlignment="1">
      <alignment/>
    </xf>
    <xf numFmtId="43" fontId="0" fillId="0" borderId="14" xfId="51" applyFont="1" applyBorder="1" applyAlignment="1">
      <alignment/>
    </xf>
    <xf numFmtId="43" fontId="0" fillId="0" borderId="17" xfId="51" applyFont="1" applyBorder="1" applyAlignment="1">
      <alignment/>
    </xf>
    <xf numFmtId="43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68" fontId="39" fillId="0" borderId="11" xfId="49" applyNumberFormat="1" applyFont="1" applyBorder="1" applyAlignment="1">
      <alignment horizontal="center"/>
    </xf>
    <xf numFmtId="10" fontId="39" fillId="0" borderId="10" xfId="49" applyNumberFormat="1" applyFont="1" applyBorder="1" applyAlignment="1">
      <alignment horizontal="center"/>
    </xf>
    <xf numFmtId="10" fontId="40" fillId="0" borderId="10" xfId="49" applyNumberFormat="1" applyFont="1" applyBorder="1" applyAlignment="1">
      <alignment horizontal="center"/>
    </xf>
    <xf numFmtId="43" fontId="0" fillId="0" borderId="10" xfId="51" applyFont="1" applyBorder="1" applyAlignment="1">
      <alignment/>
    </xf>
    <xf numFmtId="0" fontId="41" fillId="13" borderId="10" xfId="0" applyFont="1" applyFill="1" applyBorder="1" applyAlignment="1">
      <alignment horizontal="center"/>
    </xf>
    <xf numFmtId="43" fontId="0" fillId="13" borderId="10" xfId="51" applyFont="1" applyFill="1" applyBorder="1" applyAlignment="1">
      <alignment/>
    </xf>
    <xf numFmtId="43" fontId="0" fillId="13" borderId="14" xfId="51" applyFont="1" applyFill="1" applyBorder="1" applyAlignment="1">
      <alignment/>
    </xf>
    <xf numFmtId="43" fontId="0" fillId="13" borderId="10" xfId="0" applyNumberFormat="1" applyFill="1" applyBorder="1" applyAlignment="1">
      <alignment/>
    </xf>
    <xf numFmtId="0" fontId="0" fillId="13" borderId="12" xfId="0" applyFill="1" applyBorder="1" applyAlignment="1">
      <alignment/>
    </xf>
    <xf numFmtId="10" fontId="40" fillId="13" borderId="10" xfId="49" applyNumberFormat="1" applyFont="1" applyFill="1" applyBorder="1" applyAlignment="1">
      <alignment horizontal="center"/>
    </xf>
    <xf numFmtId="164" fontId="0" fillId="13" borderId="18" xfId="51" applyNumberFormat="1" applyFont="1" applyFill="1" applyBorder="1" applyAlignment="1">
      <alignment/>
    </xf>
    <xf numFmtId="0" fontId="0" fillId="13" borderId="19" xfId="0" applyFill="1" applyBorder="1" applyAlignment="1">
      <alignment/>
    </xf>
    <xf numFmtId="10" fontId="40" fillId="13" borderId="13" xfId="49" applyNumberFormat="1" applyFont="1" applyFill="1" applyBorder="1" applyAlignment="1">
      <alignment horizontal="center"/>
    </xf>
    <xf numFmtId="164" fontId="0" fillId="13" borderId="10" xfId="51" applyNumberFormat="1" applyFont="1" applyFill="1" applyBorder="1" applyAlignment="1">
      <alignment/>
    </xf>
    <xf numFmtId="43" fontId="0" fillId="13" borderId="12" xfId="0" applyNumberFormat="1" applyFill="1" applyBorder="1" applyAlignment="1">
      <alignment/>
    </xf>
    <xf numFmtId="0" fontId="38" fillId="4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165" fontId="0" fillId="4" borderId="11" xfId="0" applyNumberForma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0225"/>
          <c:w val="0.98575"/>
          <c:h val="0.95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'2022'!$A$10:$A$27</c:f>
              <c:strCache/>
            </c:strRef>
          </c:cat>
          <c:val>
            <c:numRef>
              <c:f>'2022'!$I$10:$I$27</c:f>
              <c:numCache/>
            </c:numRef>
          </c:val>
          <c:shape val="box"/>
        </c:ser>
        <c:shape val="box"/>
        <c:axId val="54222270"/>
        <c:axId val="18238383"/>
      </c:bar3DChart>
      <c:catAx>
        <c:axId val="5422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238383"/>
        <c:crosses val="autoZero"/>
        <c:auto val="1"/>
        <c:lblOffset val="100"/>
        <c:tickLblSkip val="1"/>
        <c:noMultiLvlLbl val="0"/>
      </c:catAx>
      <c:valAx>
        <c:axId val="182383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22270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75"/>
          <c:y val="0.01725"/>
          <c:w val="0.323"/>
          <c:h val="0.96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cat>
            <c:strRef>
              <c:f>'2022'!$A$10:$A$27</c:f>
              <c:strCache/>
            </c:strRef>
          </c:cat>
          <c:val>
            <c:numRef>
              <c:f>'2022'!$I$10:$I$27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0605"/>
          <c:w val="0.13375"/>
          <c:h val="0.871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35</xdr:row>
      <xdr:rowOff>38100</xdr:rowOff>
    </xdr:from>
    <xdr:to>
      <xdr:col>13</xdr:col>
      <xdr:colOff>0</xdr:colOff>
      <xdr:row>56</xdr:row>
      <xdr:rowOff>171450</xdr:rowOff>
    </xdr:to>
    <xdr:graphicFrame>
      <xdr:nvGraphicFramePr>
        <xdr:cNvPr id="1" name="Gráfico 5"/>
        <xdr:cNvGraphicFramePr/>
      </xdr:nvGraphicFramePr>
      <xdr:xfrm>
        <a:off x="219075" y="7686675"/>
        <a:ext cx="141541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85725</xdr:rowOff>
    </xdr:from>
    <xdr:to>
      <xdr:col>0</xdr:col>
      <xdr:colOff>1752600</xdr:colOff>
      <xdr:row>4</xdr:row>
      <xdr:rowOff>104775</xdr:rowOff>
    </xdr:to>
    <xdr:pic>
      <xdr:nvPicPr>
        <xdr:cNvPr id="2" name="image0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5725"/>
          <a:ext cx="1657350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228600</xdr:colOff>
      <xdr:row>58</xdr:row>
      <xdr:rowOff>104775</xdr:rowOff>
    </xdr:from>
    <xdr:to>
      <xdr:col>12</xdr:col>
      <xdr:colOff>866775</xdr:colOff>
      <xdr:row>83</xdr:row>
      <xdr:rowOff>152400</xdr:rowOff>
    </xdr:to>
    <xdr:graphicFrame>
      <xdr:nvGraphicFramePr>
        <xdr:cNvPr id="3" name="Gráfico 3"/>
        <xdr:cNvGraphicFramePr/>
      </xdr:nvGraphicFramePr>
      <xdr:xfrm>
        <a:off x="228600" y="12134850"/>
        <a:ext cx="14116050" cy="4810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6"/>
  <sheetViews>
    <sheetView showGridLines="0" tabSelected="1" zoomScale="85" zoomScaleNormal="85" zoomScalePageLayoutView="0" workbookViewId="0" topLeftCell="A1">
      <selection activeCell="S19" sqref="S19"/>
    </sheetView>
  </sheetViews>
  <sheetFormatPr defaultColWidth="9.140625" defaultRowHeight="15"/>
  <cols>
    <col min="1" max="1" width="31.8515625" style="0" bestFit="1" customWidth="1"/>
    <col min="2" max="2" width="15.140625" style="36" bestFit="1" customWidth="1"/>
    <col min="3" max="3" width="14.28125" style="0" bestFit="1" customWidth="1"/>
    <col min="4" max="4" width="15.28125" style="0" bestFit="1" customWidth="1"/>
    <col min="5" max="5" width="15.140625" style="0" bestFit="1" customWidth="1"/>
    <col min="6" max="6" width="13.00390625" style="0" bestFit="1" customWidth="1"/>
    <col min="7" max="8" width="13.00390625" style="0" customWidth="1"/>
    <col min="9" max="9" width="20.28125" style="0" bestFit="1" customWidth="1"/>
    <col min="10" max="10" width="24.140625" style="0" bestFit="1" customWidth="1"/>
    <col min="11" max="11" width="13.57421875" style="0" bestFit="1" customWidth="1"/>
    <col min="12" max="13" width="13.421875" style="0" bestFit="1" customWidth="1"/>
    <col min="14" max="14" width="11.57421875" style="0" bestFit="1" customWidth="1"/>
    <col min="15" max="15" width="13.28125" style="0" bestFit="1" customWidth="1"/>
    <col min="16" max="16" width="11.57421875" style="0" bestFit="1" customWidth="1"/>
    <col min="17" max="18" width="10.57421875" style="0" bestFit="1" customWidth="1"/>
  </cols>
  <sheetData>
    <row r="1" spans="2:3" ht="15">
      <c r="B1" s="37"/>
      <c r="C1" s="37"/>
    </row>
    <row r="2" spans="1:9" ht="15">
      <c r="A2" s="14"/>
      <c r="B2" s="37"/>
      <c r="C2" s="37"/>
      <c r="D2" s="1"/>
      <c r="I2" s="13"/>
    </row>
    <row r="3" spans="1:9" ht="15">
      <c r="A3" s="14"/>
      <c r="B3" s="37"/>
      <c r="C3" s="37"/>
      <c r="D3" s="1"/>
      <c r="I3" s="13"/>
    </row>
    <row r="4" spans="1:9" ht="15">
      <c r="A4" s="14"/>
      <c r="B4" s="37"/>
      <c r="C4" s="37"/>
      <c r="D4" s="1"/>
      <c r="I4" s="15"/>
    </row>
    <row r="5" spans="1:9" ht="15">
      <c r="A5" s="14"/>
      <c r="B5" s="37"/>
      <c r="C5" s="37"/>
      <c r="D5" s="1"/>
      <c r="I5" s="15"/>
    </row>
    <row r="6" spans="2:9" ht="15">
      <c r="B6" s="34"/>
      <c r="C6" s="38"/>
      <c r="D6" s="1"/>
      <c r="E6" s="1"/>
      <c r="I6" s="11"/>
    </row>
    <row r="7" spans="1:13" ht="21">
      <c r="A7" s="73" t="s">
        <v>32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9" spans="1:13" ht="15">
      <c r="A9" s="6"/>
      <c r="B9" s="6" t="s">
        <v>0</v>
      </c>
      <c r="C9" s="35" t="s">
        <v>1</v>
      </c>
      <c r="D9" s="6" t="s">
        <v>2</v>
      </c>
      <c r="E9" s="6" t="s">
        <v>3</v>
      </c>
      <c r="F9" s="6" t="s">
        <v>23</v>
      </c>
      <c r="G9" s="6" t="s">
        <v>25</v>
      </c>
      <c r="H9" s="6" t="s">
        <v>24</v>
      </c>
      <c r="I9" s="6" t="s">
        <v>16</v>
      </c>
      <c r="J9" s="7" t="s">
        <v>12</v>
      </c>
      <c r="K9" s="7" t="s">
        <v>13</v>
      </c>
      <c r="L9" s="7" t="s">
        <v>17</v>
      </c>
      <c r="M9" s="24" t="s">
        <v>18</v>
      </c>
    </row>
    <row r="10" spans="1:13" ht="18.75">
      <c r="A10" s="60" t="s">
        <v>4</v>
      </c>
      <c r="B10" s="61">
        <f>8683.2+9791.7+11664.6+5907.6+3917.38+14413.82+16185.9+5376.25+18861.9+11486.45+4691.65+13219.26+5592.84+18474.9+9845.08+2776.82+11788.22+3324.88+14113.18+1924.52+13168.47+5643.63+4672.89+12634.11+3636.88+13263.9+16156.8+2228.13+10388.67+6184.73+6437.17+11265.36+3393.54+12625.5+12679.2+22825.5+10969.2+21030+12621.9+15581.4</f>
        <v>409447.12999999995</v>
      </c>
      <c r="C10" s="62">
        <f>21084.25+47825.25+16456+5142.5+96679+28283.75+48853.75+50396.5+45768.25+62224.25+68909.5+48853.75+40111.5+50396.5+47825.25+15427.5+17998.75+62224.25+32397.75+29312.25+49368+52453.5+40111.5+67881+76623.25+61195.75+42682.75+46796.75</f>
        <v>1273283</v>
      </c>
      <c r="D10" s="61">
        <f>29042.15+42559.1+37037.25+33250+34410.98+114556.62+38940.41+86818.04+74520.22+25843.82+31920+83257.57+30570.42+76396.8+32326.98+111553.54+54530+113098.68+40317.35+118589.82+33312.99+80066.8+10627.55+1500+94107.87+40445.57+17290+87636.73+40620.66+33357.33+38270.01+1500+106900.45+22934.79+32231.86+33241.75+110477.62+42603.16+123611.96+38791.91+100497.89+17313.81+1500+82412.76+51795.19+1500+1500+147162.59+9000+65436.69+41518.48+159132.05+94608.27</f>
        <v>2972446.49</v>
      </c>
      <c r="E10" s="61">
        <f>7948.34+13617.41+36860.43+3601.3+1274.21+34232.8+32389.22+28382.56+529.08+22195.91+16471.34+13750.69+3807.21+18338.43+15017.39+4213.08+3503.18+361.73+996.1+18435.88+11417.16+30692.08+135.72+290.1+4165.59+9221.08+32738.44+5060+3970.92+79.42+14067.03+28.46+1623.51+36152.63+28.29+20580.34+41.19+15603.41+3533.22+16753.76+19205.63+19945.72+944.43+8114.37+3284.64+28089.05+34694.51+74.83+22008.69+1875.84+24207.31+8558.8+29263.69+25759.46+99.99+6136.5+164.25+5753.8+5498.19+36277.64+92.9+1443.88+23486.57+229.61+28701.74+20517.62+5372.76+13010.63+29527.09+12741.41+19237.8+13909.46+5173.44+42494.56+13629.09+3770.08+468.15+18185.78+41054.31+33845.08</f>
        <v>1088957.94</v>
      </c>
      <c r="F10" s="61">
        <f>4541.93+2879.94+2108.05+727.57+6291.56+426.89+259.99+737.55+1748.83+2068.68+903.52+18000+2187.54+806.99+18000+1466.52+2182.59+1454.4+519.98+4453.26+667.6-23564+2254.26+1094.28+719.16+717.65+1450.88+8368.55+500.7+104.84+2736.92+3840.19+728.82+2199.01+1805.81+1551.98+3976.06+271.74+4499.2+395.86-29438.53+12000+2249.44+2000+2306.34+732.83+7730.69+842.03+6134.15+2100.01+1089.87+937.29+2803.95+6652.17+1594.28+3281.65+694.41+135.87+4491.6+166.9+2525.18+331.2+2247.62+1318.22+15000</f>
        <v>136012.46999999994</v>
      </c>
      <c r="G10" s="61">
        <v>0</v>
      </c>
      <c r="H10" s="61">
        <v>0</v>
      </c>
      <c r="I10" s="63">
        <f aca="true" t="shared" si="0" ref="I10:I19">SUM(B10:H10)</f>
        <v>5880147.03</v>
      </c>
      <c r="J10" s="66">
        <v>503150.2</v>
      </c>
      <c r="K10" s="61">
        <f>I10/J10</f>
        <v>11.686663405877608</v>
      </c>
      <c r="L10" s="67"/>
      <c r="M10" s="68">
        <f>I10/I28</f>
        <v>0.19436177606884106</v>
      </c>
    </row>
    <row r="11" spans="1:13" ht="18.75">
      <c r="A11" s="5" t="s">
        <v>5</v>
      </c>
      <c r="B11" s="32">
        <f>17133+3795+14214.3+12103.8</f>
        <v>47246.100000000006</v>
      </c>
      <c r="C11" s="29">
        <f>22112.75+16456+38568.75</f>
        <v>77137.5</v>
      </c>
      <c r="D11" s="2">
        <f>53003.11+37066.51+37514.78</f>
        <v>127584.4</v>
      </c>
      <c r="E11" s="2">
        <v>0</v>
      </c>
      <c r="F11" s="2">
        <f>3586.68+2508.26+1497.88+779.97</f>
        <v>8372.79</v>
      </c>
      <c r="G11" s="50">
        <v>0</v>
      </c>
      <c r="H11" s="49">
        <v>0</v>
      </c>
      <c r="I11" s="3">
        <f t="shared" si="0"/>
        <v>260340.79</v>
      </c>
      <c r="J11" s="12">
        <v>23982.03</v>
      </c>
      <c r="K11" s="32">
        <f>I11/J11</f>
        <v>10.855661092909983</v>
      </c>
      <c r="L11" s="22"/>
      <c r="M11" s="57">
        <f>I11/I28</f>
        <v>0.008605277737003316</v>
      </c>
    </row>
    <row r="12" spans="1:13" ht="18.75">
      <c r="A12" s="5" t="s">
        <v>6</v>
      </c>
      <c r="B12" s="32">
        <f>11610.6+7615.8+11716.2+7615.8+14148.3</f>
        <v>52706.7</v>
      </c>
      <c r="C12" s="29">
        <f>59653+27255.25+66852.5+37540.25+9256.5+54510.5</f>
        <v>255068</v>
      </c>
      <c r="D12" s="2">
        <f>114346.91+11453.75+33560.32+182514.88+85559.26+1500+142306.8+1500</f>
        <v>572741.9199999999</v>
      </c>
      <c r="E12" s="2">
        <v>0</v>
      </c>
      <c r="F12" s="27">
        <f>4941.76+1450.39+7887.8+1594.28+2617.64+3000+4000+6150.11</f>
        <v>31641.980000000003</v>
      </c>
      <c r="G12" s="50">
        <v>0</v>
      </c>
      <c r="H12" s="49">
        <v>0</v>
      </c>
      <c r="I12" s="3">
        <f t="shared" si="0"/>
        <v>912158.5999999999</v>
      </c>
      <c r="J12" s="31">
        <v>64021.39</v>
      </c>
      <c r="K12" s="19">
        <f>I12/J12</f>
        <v>14.247716271077524</v>
      </c>
      <c r="L12" s="22"/>
      <c r="M12" s="58">
        <f>I12/I28</f>
        <v>0.03015039669041533</v>
      </c>
    </row>
    <row r="13" spans="1:16" ht="18.75">
      <c r="A13" s="5" t="s">
        <v>7</v>
      </c>
      <c r="B13" s="32">
        <f>12390.6+11953.8+13537.5+12216</f>
        <v>50097.9</v>
      </c>
      <c r="C13" s="29">
        <f>89993.75+66338.25+65309.75+68909.5</f>
        <v>290551.25</v>
      </c>
      <c r="D13" s="2">
        <f>171491.88+206258.46+18742.5+9371.25+220330.75+1500+1500+218644.76+836.16</f>
        <v>848675.76</v>
      </c>
      <c r="E13" s="2"/>
      <c r="F13" s="2">
        <f>7141.41+3000+8913.93+3150.78+8982.1+977.9+6248.78+8909.23</f>
        <v>47324.130000000005</v>
      </c>
      <c r="G13" s="50">
        <v>0</v>
      </c>
      <c r="H13" s="49">
        <v>0</v>
      </c>
      <c r="I13" s="3">
        <f t="shared" si="0"/>
        <v>1236649.04</v>
      </c>
      <c r="J13" s="12">
        <v>94296.32</v>
      </c>
      <c r="K13" s="19">
        <f>I13/J13</f>
        <v>13.114499484179234</v>
      </c>
      <c r="L13" s="22"/>
      <c r="M13" s="58">
        <f>I13/I28</f>
        <v>0.04087607037068038</v>
      </c>
      <c r="P13" s="1"/>
    </row>
    <row r="14" spans="1:15" ht="18.75">
      <c r="A14" s="5" t="s">
        <v>21</v>
      </c>
      <c r="B14" s="32">
        <f>5240.4+13975.5+10571.7+10571.7</f>
        <v>40359.3</v>
      </c>
      <c r="C14" s="29">
        <f>22627+29826.5+25198.25+15427.5</f>
        <v>93079.25</v>
      </c>
      <c r="D14" s="21">
        <f>52823.43+69239.21+67361.73+49891.89</f>
        <v>239316.26</v>
      </c>
      <c r="E14" s="21">
        <f>5610.07+3304.67+4765.74</f>
        <v>13680.48</v>
      </c>
      <c r="F14" s="21">
        <f>3451.26+477.2+5921.62+3520.87+508.23+5938.48+4401.13+291.02+228.96+166.9+291.02+3259.72</f>
        <v>28456.410000000003</v>
      </c>
      <c r="G14" s="50">
        <v>0</v>
      </c>
      <c r="H14" s="49">
        <v>0</v>
      </c>
      <c r="I14" s="3">
        <f t="shared" si="0"/>
        <v>414891.69999999995</v>
      </c>
      <c r="J14" s="20">
        <v>43433.08</v>
      </c>
      <c r="K14" s="18">
        <f>I14/J14</f>
        <v>9.552435608987434</v>
      </c>
      <c r="L14" s="23"/>
      <c r="M14" s="57">
        <f>I14/I28</f>
        <v>0.0137137876445618</v>
      </c>
      <c r="O14" s="1"/>
    </row>
    <row r="15" spans="1:13" ht="18.75">
      <c r="A15" s="5" t="s">
        <v>26</v>
      </c>
      <c r="B15" s="50">
        <v>0</v>
      </c>
      <c r="C15" s="52">
        <v>0</v>
      </c>
      <c r="D15" s="50">
        <v>0</v>
      </c>
      <c r="E15" s="50">
        <f>28481.61+33933.2+2828.9+2897.48</f>
        <v>68141.19</v>
      </c>
      <c r="F15" s="50">
        <v>0</v>
      </c>
      <c r="G15" s="50">
        <v>0</v>
      </c>
      <c r="H15" s="50">
        <v>0</v>
      </c>
      <c r="I15" s="3">
        <f t="shared" si="0"/>
        <v>68141.19</v>
      </c>
      <c r="J15" s="31"/>
      <c r="K15" s="18"/>
      <c r="L15" s="23"/>
      <c r="M15" s="57">
        <f>I15/I28</f>
        <v>0.0022523318965111576</v>
      </c>
    </row>
    <row r="16" spans="1:13" ht="18.75">
      <c r="A16" s="60" t="s">
        <v>20</v>
      </c>
      <c r="B16" s="61">
        <f>13358.4+9573.6+14019+13088.4+14148.3+12027.9+12019.8+7185</f>
        <v>95420.4</v>
      </c>
      <c r="C16" s="62">
        <f>68395.25+32397.75+55024.75+49882.25+49368+50910.75+34454.75+12342+50396.5+80737.25+8742.25</f>
        <v>492651.5</v>
      </c>
      <c r="D16" s="61">
        <f>10085+4370+4370+139840+1500+87400+1500+214130+1500+6000+250390+174800+61180+17480+1500+1500+218506.99+26220+122360+1500+148580+8740</f>
        <v>1503451.99</v>
      </c>
      <c r="E16" s="61">
        <f>4189.46+7911.63+802.3+6039.84+6553.44+860.79+1299.1+4831.83+4577.97+7028.48+6776.18+6454.08+11240.67+15636.57+21556.48+16690.23+12912.33+3048.9+4376.34+11723.35+4976.13+9738.88+5958.48+6526.4+1703.92+4013.56+12646.53+16077.46+22448.04+11373.47+10955.25+2855.18+1374.29+12556.29+11244.14+1672.73+2168.79+1593.02+3801.2+4986.49+4926.47+8629.59+4847.86+5040.46+2131.91+161.2+10847.5+15093.35+9721.78+5695.46+9307.82+32296.96+15758.08+2232.27+14213.39+2188.54+30199.44+27196.69+6224.21+7.56+14115.61+12449.31+7497.81+6708.96+5661.72+1571.65+16846.42+4148.15+652.24+20845.3+6746.82+830.27+7318.8+2591.85+9114.1+7739.73+3562.35+5571.53+5994.19+6003.77+7260.57+5560.16+5966.38+6122.95+6472.54+2500.41+9040.16+13005.05+12973.79+17919.85+17905.1+12984.48+33828.31+40774.4+13645.14+42457.03+35707.13+4120.48+3891.29+24743.4+102850+4754.7+5313.95+3325.5+18745.17+14872.57+10750.71+10288.96+5267.5+4289.91+5173.95+19416.39+14858.15+18419.33+25986.04+12681.48+8845.08+17814.71+5590.07+19340.57+12208.97+907.92+6579.87+8402.86+9724.12+8339.4+7274.16+4223.99+6792.04+4336.92+21197.19+12597.53+14008.26+32744.06+34544.09</f>
        <v>1485216.08</v>
      </c>
      <c r="F16" s="61">
        <f>2870.9+3145.78+3073.25+2482.35+3145.78+2525.18+2071</f>
        <v>19314.24</v>
      </c>
      <c r="G16" s="61">
        <v>0</v>
      </c>
      <c r="H16" s="61">
        <v>0</v>
      </c>
      <c r="I16" s="63">
        <f t="shared" si="0"/>
        <v>3596054.2100000004</v>
      </c>
      <c r="J16" s="69">
        <v>148000.8</v>
      </c>
      <c r="K16" s="61">
        <f>I16/J16</f>
        <v>24.29753224306896</v>
      </c>
      <c r="L16" s="70"/>
      <c r="M16" s="65">
        <f>I16/I28</f>
        <v>0.11886360656111572</v>
      </c>
    </row>
    <row r="17" spans="1:13" ht="18.75">
      <c r="A17" s="5" t="s">
        <v>28</v>
      </c>
      <c r="B17" s="32">
        <f>10222.2</f>
        <v>10222.2</v>
      </c>
      <c r="C17" s="29">
        <f>47311</f>
        <v>47311</v>
      </c>
      <c r="D17" s="32">
        <f>91138.64+1500</f>
        <v>92638.64</v>
      </c>
      <c r="E17" s="32">
        <v>0</v>
      </c>
      <c r="F17" s="32">
        <v>8327.7</v>
      </c>
      <c r="G17" s="50">
        <v>0</v>
      </c>
      <c r="H17" s="49">
        <v>0</v>
      </c>
      <c r="I17" s="3">
        <f t="shared" si="0"/>
        <v>158499.54</v>
      </c>
      <c r="J17" s="31">
        <v>21812.47</v>
      </c>
      <c r="K17" s="18">
        <f>I17/J17</f>
        <v>7.266464549865283</v>
      </c>
      <c r="L17" s="23"/>
      <c r="M17" s="57">
        <f>I17/I28</f>
        <v>0.005239027518074546</v>
      </c>
    </row>
    <row r="18" spans="1:13" ht="18.75">
      <c r="A18" s="5" t="s">
        <v>30</v>
      </c>
      <c r="B18" s="59">
        <f>11534.46+5227.8+6535.5</f>
        <v>23297.76</v>
      </c>
      <c r="C18" s="52">
        <f>23655.5+24169.75+59653</f>
        <v>107478.25</v>
      </c>
      <c r="D18" s="59">
        <f>78766.3+1500+87237.95+87501.7+96057.75+26375</f>
        <v>377438.7</v>
      </c>
      <c r="E18" s="59">
        <v>0</v>
      </c>
      <c r="F18" s="59">
        <f>514.34+501.75+1419.85+892.26+676.91+2000</f>
        <v>6005.11</v>
      </c>
      <c r="G18" s="59">
        <v>0</v>
      </c>
      <c r="H18" s="59">
        <v>0</v>
      </c>
      <c r="I18" s="3">
        <f t="shared" si="0"/>
        <v>514219.82</v>
      </c>
      <c r="J18" s="31">
        <f>7181.25+9.09</f>
        <v>7190.34</v>
      </c>
      <c r="K18" s="18"/>
      <c r="L18" s="23"/>
      <c r="M18" s="57">
        <f>I18/I28</f>
        <v>0.016996969122556063</v>
      </c>
    </row>
    <row r="19" spans="1:13" ht="18.75">
      <c r="A19" s="5" t="s">
        <v>31</v>
      </c>
      <c r="B19" s="59">
        <f>11601</f>
        <v>11601</v>
      </c>
      <c r="C19" s="52">
        <f>71995</f>
        <v>71995</v>
      </c>
      <c r="D19" s="59">
        <f>109771.13</f>
        <v>109771.13</v>
      </c>
      <c r="E19" s="59">
        <f>29361.49+27802.18+78285.77+21916.82</f>
        <v>157366.26</v>
      </c>
      <c r="F19" s="59">
        <v>0</v>
      </c>
      <c r="G19" s="59">
        <v>0</v>
      </c>
      <c r="H19" s="59">
        <v>0</v>
      </c>
      <c r="I19" s="3">
        <f>SUM(B19:H19)</f>
        <v>350733.39</v>
      </c>
      <c r="J19" s="31">
        <v>8847.701</v>
      </c>
      <c r="K19" s="18"/>
      <c r="L19" s="23"/>
      <c r="M19" s="57">
        <f>I19/I28</f>
        <v>0.011593105454549406</v>
      </c>
    </row>
    <row r="20" spans="1:13" ht="18.75">
      <c r="A20" s="4" t="s">
        <v>19</v>
      </c>
      <c r="B20" s="32">
        <v>0</v>
      </c>
      <c r="C20" s="29">
        <v>0</v>
      </c>
      <c r="D20" s="17">
        <v>0</v>
      </c>
      <c r="E20" s="17">
        <v>0</v>
      </c>
      <c r="F20" s="17">
        <v>0</v>
      </c>
      <c r="G20" s="50">
        <v>0</v>
      </c>
      <c r="H20" s="49">
        <f>22885.34+19788.16+18779.58+21217.43+32030.48+15807.73+6348.86+14517.43+8103.61+20131.06+21115.87+18282.99+32291.01+33416.68</f>
        <v>284716.23</v>
      </c>
      <c r="I20" s="3">
        <f>SUM(B20:H20)</f>
        <v>284716.23</v>
      </c>
      <c r="J20" s="17"/>
      <c r="K20" s="16"/>
      <c r="L20" s="23"/>
      <c r="M20" s="57">
        <f>I20/I28</f>
        <v>0.00941098102753132</v>
      </c>
    </row>
    <row r="21" spans="1:13" ht="18.75">
      <c r="A21" s="5" t="s">
        <v>33</v>
      </c>
      <c r="B21" s="59">
        <v>26150.4</v>
      </c>
      <c r="C21" s="52">
        <v>63211.4</v>
      </c>
      <c r="D21" s="59">
        <v>135512.71</v>
      </c>
      <c r="E21" s="59">
        <v>0</v>
      </c>
      <c r="F21" s="59">
        <v>0</v>
      </c>
      <c r="G21" s="59">
        <v>0</v>
      </c>
      <c r="H21" s="59">
        <v>0</v>
      </c>
      <c r="I21" s="3">
        <f>SUM(B21:H21)</f>
        <v>224874.51</v>
      </c>
      <c r="J21" s="8">
        <v>898.75</v>
      </c>
      <c r="K21" s="59"/>
      <c r="L21" s="23"/>
      <c r="M21" s="57">
        <f>I21/I28</f>
        <v>0.0074329789600873905</v>
      </c>
    </row>
    <row r="22" spans="1:15" ht="18.75">
      <c r="A22" s="60" t="s">
        <v>15</v>
      </c>
      <c r="B22" s="61">
        <f>1224381.42+1167756.78+990970.55+1099183.2+1207714.5+1130933.58+1010481.63+987495.03+1026310.26+980031.15+1088528.22+1027042.68+23346.88</f>
        <v>12964175.88</v>
      </c>
      <c r="C22" s="62">
        <v>0</v>
      </c>
      <c r="D22" s="61">
        <v>0</v>
      </c>
      <c r="E22" s="61">
        <v>0</v>
      </c>
      <c r="F22" s="61">
        <v>3766.38</v>
      </c>
      <c r="G22" s="61">
        <v>0</v>
      </c>
      <c r="H22" s="61">
        <v>0</v>
      </c>
      <c r="I22" s="63">
        <f>SUM(B22:H22)</f>
        <v>12967942.260000002</v>
      </c>
      <c r="J22" s="61"/>
      <c r="K22" s="61"/>
      <c r="L22" s="64"/>
      <c r="M22" s="65">
        <f>I22/I28</f>
        <v>0.42864103172123924</v>
      </c>
      <c r="N22" s="1"/>
      <c r="O22" s="1"/>
    </row>
    <row r="23" spans="1:13" ht="18.75">
      <c r="A23" s="5" t="s">
        <v>9</v>
      </c>
      <c r="B23" s="59">
        <v>235976.19</v>
      </c>
      <c r="C23" s="29">
        <v>0</v>
      </c>
      <c r="D23" s="2">
        <v>0</v>
      </c>
      <c r="E23" s="2">
        <v>0</v>
      </c>
      <c r="F23" s="2">
        <v>0</v>
      </c>
      <c r="G23" s="50">
        <v>0</v>
      </c>
      <c r="H23" s="49">
        <v>0</v>
      </c>
      <c r="I23" s="3">
        <f>SUM(B23:H23)</f>
        <v>235976.19</v>
      </c>
      <c r="J23" s="32"/>
      <c r="K23" s="16"/>
      <c r="L23" s="23"/>
      <c r="M23" s="57">
        <f>I23/I28</f>
        <v>0.0077999327507221</v>
      </c>
    </row>
    <row r="24" spans="1:18" ht="18.75">
      <c r="A24" s="5" t="s">
        <v>27</v>
      </c>
      <c r="B24" s="50">
        <f>4350+2175+6525+4350+2175+4350+4350+6596.1+11181.3+2175+9570+2175</f>
        <v>59972.399999999994</v>
      </c>
      <c r="C24" s="52">
        <f>5074.08+982.08+3928.32+6056.16+2946.24+2946.24+6069.66+70976.97+65412.61+11334.84+1636.8</f>
        <v>177363.99999999997</v>
      </c>
      <c r="D24" s="50">
        <f>2906.6+600+2400+2400+1200+1200+4800+4200+46200+3000+600</f>
        <v>69506.6</v>
      </c>
      <c r="E24" s="50">
        <v>0</v>
      </c>
      <c r="F24" s="50">
        <f>570.29+849.56+3000+4717.94+20.7+7000+1066.77+1501.19+942.65+4000.45+104.84+7875.45+2245.91+3000+20.7+9336.72+1004.71+20.7+539.26+1035.74</f>
        <v>48853.579999999994</v>
      </c>
      <c r="G24" s="50">
        <v>0</v>
      </c>
      <c r="H24" s="50">
        <v>0</v>
      </c>
      <c r="I24" s="3">
        <f>SUM(B24:H24)</f>
        <v>355696.58</v>
      </c>
      <c r="J24" s="8">
        <f>875.29+48.089+322.555</f>
        <v>1245.934</v>
      </c>
      <c r="K24" s="16">
        <f>I24/J24</f>
        <v>285.48589251116033</v>
      </c>
      <c r="L24" s="22"/>
      <c r="M24" s="57">
        <f>I24/I28</f>
        <v>0.011757158227115386</v>
      </c>
      <c r="R24" s="1"/>
    </row>
    <row r="25" spans="1:16" ht="18.75">
      <c r="A25" s="5" t="s">
        <v>10</v>
      </c>
      <c r="B25" s="32">
        <v>0</v>
      </c>
      <c r="C25" s="29">
        <f>39086.58+44233.26-982.08+59562.01+47063.4+58308.48+43244.34+36227.91+52155.3+46283.96+67803.05+48601.26+54068.03+403.06</f>
        <v>596058.56</v>
      </c>
      <c r="D25" s="2">
        <f>56347.42+64546.15-600+94852.99+57403.12+72684.91-1500+65514.19+61260.17+71227.16-45000+60519.2+70094.05+69551.92-144131.5+84816.85</f>
        <v>637586.63</v>
      </c>
      <c r="E25" s="3">
        <f>7384.7+10704.74+12140.39+5887.04+9587.9+32899-10+26265.54+15995.62+17953.76+10674.28+14629.34+9675.18+16137.42</f>
        <v>189924.91</v>
      </c>
      <c r="F25" s="3">
        <f>269.1+372.6+27958.71+475.8+434.7+7629.15+331.2+9594.05-10000+310.5+248.4+351.9+33000+331.2+5543.5+351.9+12637.93+289.8+660.07+1016.46+73.81+2406.35+345.55+353.08+331.2+6439.26</f>
        <v>101756.22</v>
      </c>
      <c r="G25" s="3">
        <v>0</v>
      </c>
      <c r="H25" s="3">
        <v>0</v>
      </c>
      <c r="I25" s="3">
        <f>SUM(B25:H25)</f>
        <v>1525326.3199999998</v>
      </c>
      <c r="J25" s="8">
        <f>398.072+2354.105-875.29+17.821+200+75.7+0.001+1871.2-2040.87</f>
        <v>2000.7390000000005</v>
      </c>
      <c r="K25" s="16">
        <f>I25/J25</f>
        <v>762.3814600505111</v>
      </c>
      <c r="L25" s="22"/>
      <c r="M25" s="58">
        <f>I25/I28</f>
        <v>0.05041797953813228</v>
      </c>
      <c r="P25" s="25"/>
    </row>
    <row r="26" spans="1:17" ht="18.75">
      <c r="A26" s="5" t="s">
        <v>29</v>
      </c>
      <c r="B26" s="32">
        <v>0</v>
      </c>
      <c r="C26" s="29">
        <v>0</v>
      </c>
      <c r="D26" s="2">
        <v>0</v>
      </c>
      <c r="E26" s="2">
        <v>0</v>
      </c>
      <c r="F26" s="2">
        <f>861.65+1811.49+2965.9+5000</f>
        <v>10639.04</v>
      </c>
      <c r="G26" s="50">
        <f>24915+24915+24915+24915+83647.96+142380.92+142380.92+83647.96+135685.51+135685.51+135685.51+135685.51</f>
        <v>1094459.8</v>
      </c>
      <c r="H26" s="49">
        <v>0</v>
      </c>
      <c r="I26" s="3">
        <f>SUM(B26:H26)</f>
        <v>1105098.84</v>
      </c>
      <c r="J26" s="32"/>
      <c r="K26" s="32"/>
      <c r="L26" s="23"/>
      <c r="M26" s="57">
        <f>I26/I28</f>
        <v>0.036527823569407585</v>
      </c>
      <c r="P26" s="25"/>
      <c r="Q26" t="s">
        <v>11</v>
      </c>
    </row>
    <row r="27" spans="1:17" ht="18.75">
      <c r="A27" s="28" t="s">
        <v>22</v>
      </c>
      <c r="B27" s="51">
        <v>0</v>
      </c>
      <c r="C27" s="53">
        <v>0</v>
      </c>
      <c r="D27" s="51">
        <v>0</v>
      </c>
      <c r="E27" s="51">
        <v>0</v>
      </c>
      <c r="F27" s="30">
        <f>552+664.2+902.23+1063.51+165.6+4995.74+994.4+3162.39+387.2+276.6+1644.2+496.8+145825.78+1021.64</f>
        <v>162152.29</v>
      </c>
      <c r="G27" s="50">
        <v>0</v>
      </c>
      <c r="H27" s="49">
        <v>0</v>
      </c>
      <c r="I27" s="3">
        <f>SUM(B27:H27)</f>
        <v>162152.29</v>
      </c>
      <c r="J27" s="33"/>
      <c r="K27" s="32"/>
      <c r="L27" s="22"/>
      <c r="M27" s="57">
        <f>I27/I28</f>
        <v>0.005359765141455957</v>
      </c>
      <c r="P27" s="45"/>
      <c r="Q27" s="1"/>
    </row>
    <row r="28" spans="1:16" ht="18.75">
      <c r="A28" s="71" t="s">
        <v>8</v>
      </c>
      <c r="B28" s="42">
        <f>SUM(B10:B27)</f>
        <v>14026673.360000001</v>
      </c>
      <c r="C28" s="43">
        <f aca="true" t="shared" si="1" ref="C28:H28">SUM(C10:C27)</f>
        <v>3545188.71</v>
      </c>
      <c r="D28" s="42">
        <f t="shared" si="1"/>
        <v>7686671.2299999995</v>
      </c>
      <c r="E28" s="41">
        <f t="shared" si="1"/>
        <v>3003286.8600000003</v>
      </c>
      <c r="F28" s="41">
        <f t="shared" si="1"/>
        <v>612622.34</v>
      </c>
      <c r="G28" s="41">
        <f>SUM(G10:G27)</f>
        <v>1094459.8</v>
      </c>
      <c r="H28" s="41">
        <f t="shared" si="1"/>
        <v>284716.23</v>
      </c>
      <c r="I28" s="44">
        <f>SUM(I10:I27)</f>
        <v>30253618.53</v>
      </c>
      <c r="J28" s="77">
        <f>SUM(J10:J27)</f>
        <v>918879.7539999997</v>
      </c>
      <c r="K28" s="40"/>
      <c r="L28" s="40"/>
      <c r="M28" s="56">
        <f>SUM(M10:M27)</f>
        <v>1</v>
      </c>
      <c r="O28" s="1"/>
      <c r="P28" s="25"/>
    </row>
    <row r="29" spans="1:17" ht="15">
      <c r="A29" s="72"/>
      <c r="B29" s="72"/>
      <c r="C29" s="37"/>
      <c r="D29" s="38"/>
      <c r="E29" s="38"/>
      <c r="F29" s="38"/>
      <c r="G29" s="37"/>
      <c r="H29" s="37"/>
      <c r="I29" s="38"/>
      <c r="J29" s="38"/>
      <c r="K29" s="37"/>
      <c r="L29" s="37"/>
      <c r="M29" s="37"/>
      <c r="O29" s="1"/>
      <c r="P29" s="45"/>
      <c r="Q29" s="1">
        <f>I28-30253618.53</f>
        <v>0</v>
      </c>
    </row>
    <row r="30" spans="1:16" ht="15">
      <c r="A30" s="54"/>
      <c r="B30" s="54"/>
      <c r="C30" s="55"/>
      <c r="D30" s="55"/>
      <c r="E30" s="55"/>
      <c r="F30" s="55"/>
      <c r="G30" s="55"/>
      <c r="H30" s="55"/>
      <c r="I30" s="54"/>
      <c r="J30" s="54"/>
      <c r="K30" s="55"/>
      <c r="L30" s="55"/>
      <c r="M30" s="55"/>
      <c r="N30" s="1"/>
      <c r="O30" s="1"/>
      <c r="P30" s="26"/>
    </row>
    <row r="31" spans="1:13" ht="1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5">
      <c r="A32" s="46"/>
      <c r="B32" s="47"/>
      <c r="C32" s="47"/>
      <c r="D32" s="47"/>
      <c r="E32" s="47"/>
      <c r="F32" s="47"/>
      <c r="G32" s="47"/>
      <c r="H32" s="47"/>
      <c r="I32" s="47"/>
      <c r="J32" s="48"/>
      <c r="K32" s="46"/>
      <c r="L32" s="46"/>
      <c r="M32" s="46"/>
    </row>
    <row r="33" spans="1:13" ht="15">
      <c r="A33" s="37"/>
      <c r="B33" s="34"/>
      <c r="C33" s="34"/>
      <c r="D33" s="34"/>
      <c r="E33" s="34"/>
      <c r="F33" s="34"/>
      <c r="G33" s="34"/>
      <c r="H33" s="34"/>
      <c r="I33" s="34"/>
      <c r="J33" s="39"/>
      <c r="K33" s="37"/>
      <c r="L33" s="37"/>
      <c r="M33" s="37"/>
    </row>
    <row r="34" spans="1:13" ht="15">
      <c r="A34" s="75" t="s">
        <v>14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1:13" ht="1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9" ht="15">
      <c r="A39" s="1"/>
    </row>
    <row r="47" ht="15">
      <c r="C47" s="9"/>
    </row>
    <row r="49" ht="15">
      <c r="C49" s="10" t="s">
        <v>11</v>
      </c>
    </row>
    <row r="58" spans="2:3" ht="15">
      <c r="B58" s="37"/>
      <c r="C58" s="37"/>
    </row>
    <row r="59" spans="2:3" ht="15">
      <c r="B59" s="37"/>
      <c r="C59" s="37"/>
    </row>
    <row r="60" spans="2:3" ht="15">
      <c r="B60" s="37"/>
      <c r="C60" s="37"/>
    </row>
    <row r="61" spans="2:3" ht="15">
      <c r="B61" s="37"/>
      <c r="C61" s="37"/>
    </row>
    <row r="62" spans="2:3" ht="15">
      <c r="B62" s="37"/>
      <c r="C62" s="37"/>
    </row>
    <row r="63" spans="2:3" ht="15">
      <c r="B63" s="37"/>
      <c r="C63" s="37"/>
    </row>
    <row r="64" spans="2:3" ht="15">
      <c r="B64" s="37"/>
      <c r="C64" s="37"/>
    </row>
    <row r="65" spans="2:3" ht="15">
      <c r="B65" s="37"/>
      <c r="C65" s="37"/>
    </row>
    <row r="66" spans="2:3" ht="15">
      <c r="B66" s="37"/>
      <c r="C66" s="37"/>
    </row>
    <row r="67" spans="2:3" ht="15">
      <c r="B67" s="37"/>
      <c r="C67" s="37"/>
    </row>
    <row r="68" spans="2:3" ht="15">
      <c r="B68" s="37"/>
      <c r="C68" s="37"/>
    </row>
    <row r="69" spans="2:3" ht="15">
      <c r="B69" s="37"/>
      <c r="C69" s="37"/>
    </row>
    <row r="70" spans="2:3" ht="15">
      <c r="B70" s="37"/>
      <c r="C70" s="37"/>
    </row>
    <row r="71" spans="2:3" ht="15">
      <c r="B71" s="37"/>
      <c r="C71" s="37"/>
    </row>
    <row r="72" spans="2:3" ht="15">
      <c r="B72" s="37"/>
      <c r="C72" s="37"/>
    </row>
    <row r="73" spans="2:3" ht="15">
      <c r="B73" s="37"/>
      <c r="C73" s="37"/>
    </row>
    <row r="74" spans="2:3" ht="15">
      <c r="B74" s="37"/>
      <c r="C74" s="37"/>
    </row>
    <row r="75" spans="2:3" ht="15">
      <c r="B75" s="37"/>
      <c r="C75" s="37"/>
    </row>
    <row r="76" spans="2:3" ht="15">
      <c r="B76" s="37"/>
      <c r="C76" s="37"/>
    </row>
    <row r="77" spans="2:3" ht="15">
      <c r="B77" s="37"/>
      <c r="C77" s="37"/>
    </row>
    <row r="78" spans="2:3" ht="15">
      <c r="B78" s="37"/>
      <c r="C78" s="37"/>
    </row>
    <row r="79" spans="2:3" ht="15">
      <c r="B79" s="37"/>
      <c r="C79" s="37"/>
    </row>
    <row r="80" spans="2:3" ht="15">
      <c r="B80" s="37"/>
      <c r="C80" s="37"/>
    </row>
    <row r="81" spans="2:3" ht="15">
      <c r="B81" s="37"/>
      <c r="C81" s="37"/>
    </row>
    <row r="82" spans="2:3" ht="15">
      <c r="B82" s="37"/>
      <c r="C82" s="37"/>
    </row>
    <row r="83" spans="2:3" ht="15">
      <c r="B83" s="37"/>
      <c r="C83" s="37"/>
    </row>
    <row r="84" spans="2:3" ht="15">
      <c r="B84" s="37"/>
      <c r="C84" s="37"/>
    </row>
    <row r="85" spans="2:3" ht="15">
      <c r="B85" s="37"/>
      <c r="C85" s="37"/>
    </row>
    <row r="86" spans="2:3" ht="15">
      <c r="B86" s="37"/>
      <c r="C86" s="37"/>
    </row>
    <row r="87" spans="2:3" ht="15">
      <c r="B87" s="37"/>
      <c r="C87" s="37"/>
    </row>
    <row r="88" spans="2:3" ht="15">
      <c r="B88" s="37"/>
      <c r="C88" s="37"/>
    </row>
    <row r="89" spans="2:3" ht="15">
      <c r="B89" s="37"/>
      <c r="C89" s="37"/>
    </row>
    <row r="90" spans="2:3" ht="15">
      <c r="B90" s="37"/>
      <c r="C90" s="37"/>
    </row>
    <row r="91" spans="2:3" ht="15">
      <c r="B91" s="37"/>
      <c r="C91" s="37"/>
    </row>
    <row r="92" spans="2:3" ht="15">
      <c r="B92" s="37"/>
      <c r="C92" s="37"/>
    </row>
    <row r="93" spans="2:3" ht="15">
      <c r="B93" s="37"/>
      <c r="C93" s="37"/>
    </row>
    <row r="94" spans="2:3" ht="15">
      <c r="B94" s="37"/>
      <c r="C94" s="37"/>
    </row>
    <row r="95" spans="2:3" ht="15">
      <c r="B95" s="37"/>
      <c r="C95" s="37"/>
    </row>
    <row r="96" spans="2:3" ht="15">
      <c r="B96" s="37"/>
      <c r="C96" s="37"/>
    </row>
    <row r="97" spans="2:3" ht="15">
      <c r="B97" s="37"/>
      <c r="C97" s="37"/>
    </row>
    <row r="98" spans="2:3" ht="15">
      <c r="B98" s="37"/>
      <c r="C98" s="37"/>
    </row>
    <row r="99" spans="2:3" ht="15">
      <c r="B99" s="37"/>
      <c r="C99" s="37"/>
    </row>
    <row r="100" spans="2:3" ht="15">
      <c r="B100" s="37"/>
      <c r="C100" s="37"/>
    </row>
    <row r="101" spans="2:3" ht="15">
      <c r="B101" s="37"/>
      <c r="C101" s="37"/>
    </row>
    <row r="102" spans="2:3" ht="15">
      <c r="B102" s="37"/>
      <c r="C102" s="37"/>
    </row>
    <row r="103" spans="2:3" ht="15">
      <c r="B103" s="37"/>
      <c r="C103" s="37"/>
    </row>
    <row r="104" spans="2:3" ht="15">
      <c r="B104" s="37"/>
      <c r="C104" s="37"/>
    </row>
    <row r="105" spans="2:3" ht="15">
      <c r="B105" s="37"/>
      <c r="C105" s="37"/>
    </row>
    <row r="106" spans="2:3" ht="15">
      <c r="B106" s="37"/>
      <c r="C106" s="37"/>
    </row>
    <row r="107" spans="2:3" ht="15">
      <c r="B107" s="37"/>
      <c r="C107" s="37"/>
    </row>
    <row r="108" spans="2:3" ht="15">
      <c r="B108" s="37"/>
      <c r="C108" s="37"/>
    </row>
    <row r="109" spans="2:3" ht="15">
      <c r="B109" s="37"/>
      <c r="C109" s="37"/>
    </row>
    <row r="110" spans="2:3" ht="15">
      <c r="B110" s="37"/>
      <c r="C110" s="37"/>
    </row>
    <row r="111" spans="2:3" ht="15">
      <c r="B111" s="37"/>
      <c r="C111" s="37"/>
    </row>
    <row r="112" spans="2:3" ht="15">
      <c r="B112" s="37"/>
      <c r="C112" s="37"/>
    </row>
    <row r="113" spans="2:3" ht="15">
      <c r="B113" s="37"/>
      <c r="C113" s="37"/>
    </row>
    <row r="114" spans="2:3" ht="15">
      <c r="B114" s="37"/>
      <c r="C114" s="37"/>
    </row>
    <row r="115" spans="2:3" ht="15">
      <c r="B115" s="37"/>
      <c r="C115" s="37"/>
    </row>
    <row r="116" spans="2:3" ht="15">
      <c r="B116" s="37"/>
      <c r="C116" s="37"/>
    </row>
    <row r="117" spans="2:3" ht="15">
      <c r="B117" s="37"/>
      <c r="C117" s="37"/>
    </row>
    <row r="118" spans="2:3" ht="15">
      <c r="B118" s="37"/>
      <c r="C118" s="37"/>
    </row>
    <row r="119" spans="2:3" ht="15">
      <c r="B119" s="37"/>
      <c r="C119" s="37"/>
    </row>
    <row r="120" spans="2:3" ht="15">
      <c r="B120" s="37"/>
      <c r="C120" s="37"/>
    </row>
    <row r="121" spans="2:3" ht="15">
      <c r="B121" s="37"/>
      <c r="C121" s="37"/>
    </row>
    <row r="122" spans="2:3" ht="15">
      <c r="B122" s="37"/>
      <c r="C122" s="37"/>
    </row>
    <row r="123" spans="2:3" ht="15">
      <c r="B123" s="37"/>
      <c r="C123" s="37"/>
    </row>
    <row r="124" spans="2:3" ht="15">
      <c r="B124" s="37"/>
      <c r="C124" s="37"/>
    </row>
    <row r="125" spans="2:3" ht="15">
      <c r="B125" s="37"/>
      <c r="C125" s="37"/>
    </row>
    <row r="126" spans="2:3" ht="15">
      <c r="B126" s="37"/>
      <c r="C126" s="37"/>
    </row>
    <row r="127" spans="2:3" ht="15">
      <c r="B127" s="37"/>
      <c r="C127" s="37"/>
    </row>
    <row r="128" spans="2:3" ht="15">
      <c r="B128" s="37"/>
      <c r="C128" s="37"/>
    </row>
    <row r="129" spans="2:3" ht="15">
      <c r="B129" s="37"/>
      <c r="C129" s="37"/>
    </row>
    <row r="130" spans="2:3" ht="15">
      <c r="B130" s="37"/>
      <c r="C130" s="37"/>
    </row>
    <row r="131" spans="2:3" ht="15">
      <c r="B131" s="37"/>
      <c r="C131" s="37"/>
    </row>
    <row r="132" spans="2:3" ht="15">
      <c r="B132" s="37"/>
      <c r="C132" s="37"/>
    </row>
    <row r="133" spans="2:3" ht="15">
      <c r="B133" s="37"/>
      <c r="C133" s="37"/>
    </row>
    <row r="134" spans="2:3" ht="15">
      <c r="B134" s="37"/>
      <c r="C134" s="37"/>
    </row>
    <row r="135" spans="2:3" ht="15">
      <c r="B135" s="37"/>
      <c r="C135" s="37"/>
    </row>
    <row r="136" spans="2:3" ht="15">
      <c r="B136" s="37"/>
      <c r="C136" s="37"/>
    </row>
    <row r="137" spans="2:3" ht="15">
      <c r="B137" s="37"/>
      <c r="C137" s="37"/>
    </row>
    <row r="138" spans="2:3" ht="15">
      <c r="B138" s="37"/>
      <c r="C138" s="37"/>
    </row>
    <row r="139" spans="2:3" ht="15">
      <c r="B139" s="37"/>
      <c r="C139" s="37"/>
    </row>
    <row r="140" spans="2:3" ht="15">
      <c r="B140" s="37"/>
      <c r="C140" s="37"/>
    </row>
    <row r="141" spans="2:3" ht="15">
      <c r="B141" s="37"/>
      <c r="C141" s="37"/>
    </row>
    <row r="142" spans="2:3" ht="15">
      <c r="B142" s="37"/>
      <c r="C142" s="37"/>
    </row>
    <row r="143" spans="2:3" ht="15">
      <c r="B143" s="37"/>
      <c r="C143" s="37"/>
    </row>
    <row r="144" spans="2:3" ht="15">
      <c r="B144" s="37"/>
      <c r="C144" s="37"/>
    </row>
    <row r="145" spans="2:3" ht="15">
      <c r="B145" s="37"/>
      <c r="C145" s="37"/>
    </row>
    <row r="146" spans="2:3" ht="15">
      <c r="B146" s="37"/>
      <c r="C146" s="37"/>
    </row>
    <row r="147" spans="2:3" ht="15">
      <c r="B147" s="37"/>
      <c r="C147" s="37"/>
    </row>
    <row r="148" spans="2:3" ht="15">
      <c r="B148" s="37"/>
      <c r="C148" s="37"/>
    </row>
    <row r="149" spans="2:3" ht="15">
      <c r="B149" s="37"/>
      <c r="C149" s="37"/>
    </row>
    <row r="150" spans="2:3" ht="15">
      <c r="B150" s="37"/>
      <c r="C150" s="37"/>
    </row>
    <row r="151" spans="2:3" ht="15">
      <c r="B151" s="37"/>
      <c r="C151" s="37"/>
    </row>
    <row r="152" spans="2:3" ht="15">
      <c r="B152" s="37"/>
      <c r="C152" s="37"/>
    </row>
    <row r="153" spans="2:3" ht="15">
      <c r="B153" s="37"/>
      <c r="C153" s="37"/>
    </row>
    <row r="154" spans="2:3" ht="15">
      <c r="B154" s="37"/>
      <c r="C154" s="37"/>
    </row>
    <row r="155" spans="2:3" ht="15">
      <c r="B155" s="37"/>
      <c r="C155" s="37"/>
    </row>
    <row r="156" spans="2:3" ht="15">
      <c r="B156" s="37"/>
      <c r="C156" s="37"/>
    </row>
    <row r="157" spans="2:3" ht="15">
      <c r="B157" s="37"/>
      <c r="C157" s="37"/>
    </row>
    <row r="158" spans="2:3" ht="15">
      <c r="B158" s="37"/>
      <c r="C158" s="37"/>
    </row>
    <row r="159" spans="2:3" ht="15">
      <c r="B159" s="37"/>
      <c r="C159" s="37"/>
    </row>
    <row r="160" spans="2:3" ht="15">
      <c r="B160" s="37"/>
      <c r="C160" s="37"/>
    </row>
    <row r="161" spans="2:3" ht="15">
      <c r="B161" s="37"/>
      <c r="C161" s="37"/>
    </row>
    <row r="162" spans="2:3" ht="15">
      <c r="B162" s="37"/>
      <c r="C162" s="37"/>
    </row>
    <row r="163" spans="2:3" ht="15">
      <c r="B163" s="37"/>
      <c r="C163" s="37"/>
    </row>
    <row r="164" spans="2:3" ht="15">
      <c r="B164" s="37"/>
      <c r="C164" s="37"/>
    </row>
    <row r="165" spans="2:3" ht="15">
      <c r="B165" s="37"/>
      <c r="C165" s="37"/>
    </row>
    <row r="166" spans="2:3" ht="15">
      <c r="B166" s="37"/>
      <c r="C166" s="37"/>
    </row>
    <row r="167" spans="2:3" ht="15">
      <c r="B167" s="37"/>
      <c r="C167" s="37"/>
    </row>
    <row r="168" spans="2:3" ht="15">
      <c r="B168" s="37"/>
      <c r="C168" s="37"/>
    </row>
    <row r="169" spans="2:3" ht="15">
      <c r="B169" s="37"/>
      <c r="C169" s="37"/>
    </row>
    <row r="170" spans="2:3" ht="15">
      <c r="B170" s="37"/>
      <c r="C170" s="37"/>
    </row>
    <row r="171" spans="2:3" ht="15">
      <c r="B171" s="37"/>
      <c r="C171" s="37"/>
    </row>
    <row r="172" spans="2:3" ht="15">
      <c r="B172" s="37"/>
      <c r="C172" s="37"/>
    </row>
    <row r="173" spans="2:3" ht="15">
      <c r="B173" s="37"/>
      <c r="C173" s="37"/>
    </row>
    <row r="174" spans="2:3" ht="15">
      <c r="B174" s="37"/>
      <c r="C174" s="37"/>
    </row>
    <row r="175" spans="2:3" ht="15">
      <c r="B175" s="37"/>
      <c r="C175" s="37"/>
    </row>
    <row r="176" spans="2:3" ht="15">
      <c r="B176" s="37"/>
      <c r="C176" s="37"/>
    </row>
    <row r="177" spans="2:3" ht="15">
      <c r="B177" s="37"/>
      <c r="C177" s="37"/>
    </row>
    <row r="178" spans="2:3" ht="15">
      <c r="B178" s="37"/>
      <c r="C178" s="37"/>
    </row>
    <row r="179" spans="2:3" ht="15">
      <c r="B179" s="37"/>
      <c r="C179" s="37"/>
    </row>
    <row r="180" spans="2:3" ht="15">
      <c r="B180" s="37"/>
      <c r="C180" s="37"/>
    </row>
    <row r="181" spans="2:3" ht="15">
      <c r="B181" s="37"/>
      <c r="C181" s="37"/>
    </row>
    <row r="182" spans="2:3" ht="15">
      <c r="B182" s="37"/>
      <c r="C182" s="37"/>
    </row>
    <row r="183" spans="2:3" ht="15">
      <c r="B183" s="37"/>
      <c r="C183" s="37"/>
    </row>
    <row r="184" spans="2:3" ht="15">
      <c r="B184" s="37"/>
      <c r="C184" s="37"/>
    </row>
    <row r="185" spans="2:3" ht="15">
      <c r="B185" s="37"/>
      <c r="C185" s="37"/>
    </row>
    <row r="186" spans="2:3" ht="15">
      <c r="B186" s="37"/>
      <c r="C186" s="37"/>
    </row>
    <row r="187" spans="2:3" ht="15">
      <c r="B187" s="37"/>
      <c r="C187" s="37"/>
    </row>
    <row r="188" spans="2:3" ht="15">
      <c r="B188" s="37"/>
      <c r="C188" s="37"/>
    </row>
    <row r="189" spans="2:3" ht="15">
      <c r="B189" s="37"/>
      <c r="C189" s="37"/>
    </row>
    <row r="190" spans="2:3" ht="15">
      <c r="B190" s="37"/>
      <c r="C190" s="37"/>
    </row>
    <row r="191" spans="2:3" ht="15">
      <c r="B191" s="37"/>
      <c r="C191" s="37"/>
    </row>
    <row r="192" spans="2:3" ht="15">
      <c r="B192" s="37"/>
      <c r="C192" s="37"/>
    </row>
    <row r="193" spans="2:3" ht="15">
      <c r="B193" s="37"/>
      <c r="C193" s="37"/>
    </row>
    <row r="194" spans="2:3" ht="15">
      <c r="B194" s="37"/>
      <c r="C194" s="37"/>
    </row>
    <row r="195" spans="2:3" ht="15">
      <c r="B195" s="37"/>
      <c r="C195" s="37"/>
    </row>
    <row r="196" spans="2:3" ht="15">
      <c r="B196" s="37"/>
      <c r="C196" s="37"/>
    </row>
    <row r="197" spans="2:3" ht="15">
      <c r="B197" s="37"/>
      <c r="C197" s="37"/>
    </row>
    <row r="198" spans="2:3" ht="15">
      <c r="B198" s="37"/>
      <c r="C198" s="37"/>
    </row>
    <row r="199" spans="2:3" ht="15">
      <c r="B199" s="37"/>
      <c r="C199" s="37"/>
    </row>
    <row r="200" spans="2:3" ht="15">
      <c r="B200" s="37"/>
      <c r="C200" s="37"/>
    </row>
    <row r="201" spans="2:3" ht="15">
      <c r="B201" s="37"/>
      <c r="C201" s="37"/>
    </row>
    <row r="202" spans="2:3" ht="15">
      <c r="B202" s="37"/>
      <c r="C202" s="37"/>
    </row>
    <row r="203" spans="2:3" ht="15">
      <c r="B203" s="37"/>
      <c r="C203" s="37"/>
    </row>
    <row r="204" spans="2:3" ht="15">
      <c r="B204" s="37"/>
      <c r="C204" s="37"/>
    </row>
    <row r="205" spans="2:3" ht="15">
      <c r="B205" s="37"/>
      <c r="C205" s="37"/>
    </row>
    <row r="206" spans="2:3" ht="15">
      <c r="B206" s="37"/>
      <c r="C206" s="37"/>
    </row>
    <row r="207" spans="2:3" ht="15">
      <c r="B207" s="37"/>
      <c r="C207" s="37"/>
    </row>
    <row r="208" spans="2:3" ht="15">
      <c r="B208" s="37"/>
      <c r="C208" s="37"/>
    </row>
    <row r="209" spans="2:3" ht="15">
      <c r="B209" s="37"/>
      <c r="C209" s="37"/>
    </row>
    <row r="210" spans="2:3" ht="15">
      <c r="B210" s="37"/>
      <c r="C210" s="37"/>
    </row>
    <row r="211" spans="2:3" ht="15">
      <c r="B211" s="37"/>
      <c r="C211" s="37"/>
    </row>
    <row r="212" spans="2:3" ht="15">
      <c r="B212" s="37"/>
      <c r="C212" s="37"/>
    </row>
    <row r="213" spans="2:3" ht="15">
      <c r="B213" s="37"/>
      <c r="C213" s="37"/>
    </row>
    <row r="214" spans="2:3" ht="15">
      <c r="B214" s="37"/>
      <c r="C214" s="37"/>
    </row>
    <row r="215" spans="2:3" ht="15">
      <c r="B215" s="37"/>
      <c r="C215" s="37"/>
    </row>
    <row r="216" spans="2:3" ht="15">
      <c r="B216" s="37"/>
      <c r="C216" s="37"/>
    </row>
    <row r="217" spans="2:3" ht="15">
      <c r="B217" s="37"/>
      <c r="C217" s="37"/>
    </row>
    <row r="218" spans="2:3" ht="15">
      <c r="B218" s="37"/>
      <c r="C218" s="37"/>
    </row>
    <row r="219" spans="2:3" ht="15">
      <c r="B219" s="37"/>
      <c r="C219" s="37"/>
    </row>
    <row r="220" spans="2:3" ht="15">
      <c r="B220" s="37"/>
      <c r="C220" s="37"/>
    </row>
    <row r="221" spans="2:3" ht="15">
      <c r="B221" s="37"/>
      <c r="C221" s="37"/>
    </row>
    <row r="222" spans="2:3" ht="15">
      <c r="B222" s="37"/>
      <c r="C222" s="37"/>
    </row>
    <row r="223" spans="2:3" ht="15">
      <c r="B223" s="37"/>
      <c r="C223" s="37"/>
    </row>
    <row r="224" spans="2:3" ht="15">
      <c r="B224" s="37"/>
      <c r="C224" s="37"/>
    </row>
    <row r="225" spans="2:3" ht="15">
      <c r="B225" s="37"/>
      <c r="C225" s="37"/>
    </row>
    <row r="226" spans="2:3" ht="15">
      <c r="B226" s="37"/>
      <c r="C226" s="37"/>
    </row>
    <row r="227" spans="2:3" ht="15">
      <c r="B227" s="37"/>
      <c r="C227" s="37"/>
    </row>
    <row r="228" spans="2:3" ht="15">
      <c r="B228" s="37"/>
      <c r="C228" s="37"/>
    </row>
    <row r="229" spans="2:3" ht="15">
      <c r="B229" s="37"/>
      <c r="C229" s="37"/>
    </row>
    <row r="230" spans="2:3" ht="15">
      <c r="B230" s="37"/>
      <c r="C230" s="37"/>
    </row>
    <row r="231" spans="2:3" ht="15">
      <c r="B231" s="37"/>
      <c r="C231" s="37"/>
    </row>
    <row r="232" spans="2:3" ht="15">
      <c r="B232" s="37"/>
      <c r="C232" s="37"/>
    </row>
    <row r="233" spans="2:3" ht="15">
      <c r="B233" s="37"/>
      <c r="C233" s="37"/>
    </row>
    <row r="234" spans="2:3" ht="15">
      <c r="B234" s="37"/>
      <c r="C234" s="37"/>
    </row>
    <row r="235" spans="2:3" ht="15">
      <c r="B235" s="37"/>
      <c r="C235" s="37"/>
    </row>
    <row r="236" spans="2:3" ht="15">
      <c r="B236" s="37"/>
      <c r="C236" s="37"/>
    </row>
    <row r="237" spans="2:3" ht="15">
      <c r="B237" s="37"/>
      <c r="C237" s="37"/>
    </row>
    <row r="238" spans="2:3" ht="15">
      <c r="B238" s="37"/>
      <c r="C238" s="37"/>
    </row>
    <row r="239" spans="2:3" ht="15">
      <c r="B239" s="37"/>
      <c r="C239" s="37"/>
    </row>
    <row r="240" spans="2:3" ht="15">
      <c r="B240" s="37"/>
      <c r="C240" s="37"/>
    </row>
    <row r="241" spans="2:3" ht="15">
      <c r="B241" s="37"/>
      <c r="C241" s="37"/>
    </row>
    <row r="242" spans="2:3" ht="15">
      <c r="B242" s="37"/>
      <c r="C242" s="37"/>
    </row>
    <row r="243" spans="2:3" ht="15">
      <c r="B243" s="37"/>
      <c r="C243" s="37"/>
    </row>
    <row r="244" spans="2:3" ht="15">
      <c r="B244" s="37"/>
      <c r="C244" s="37"/>
    </row>
    <row r="245" spans="2:3" ht="15">
      <c r="B245" s="37"/>
      <c r="C245" s="37"/>
    </row>
    <row r="246" spans="2:3" ht="15">
      <c r="B246" s="37"/>
      <c r="C246" s="37"/>
    </row>
    <row r="247" spans="2:3" ht="15">
      <c r="B247" s="37"/>
      <c r="C247" s="37"/>
    </row>
    <row r="248" spans="2:3" ht="15">
      <c r="B248" s="37"/>
      <c r="C248" s="37"/>
    </row>
    <row r="249" spans="2:3" ht="15">
      <c r="B249" s="37"/>
      <c r="C249" s="37"/>
    </row>
    <row r="250" spans="2:3" ht="15">
      <c r="B250" s="37"/>
      <c r="C250" s="37"/>
    </row>
    <row r="251" spans="2:3" ht="15">
      <c r="B251" s="37"/>
      <c r="C251" s="37"/>
    </row>
    <row r="252" spans="2:3" ht="15">
      <c r="B252" s="37"/>
      <c r="C252" s="37"/>
    </row>
    <row r="253" spans="2:3" ht="15">
      <c r="B253" s="37"/>
      <c r="C253" s="37"/>
    </row>
    <row r="254" spans="2:3" ht="15">
      <c r="B254" s="37"/>
      <c r="C254" s="37"/>
    </row>
    <row r="255" spans="2:3" ht="15">
      <c r="B255" s="37"/>
      <c r="C255" s="37"/>
    </row>
    <row r="256" spans="2:3" ht="15">
      <c r="B256" s="37"/>
      <c r="C256" s="37"/>
    </row>
    <row r="257" spans="2:3" ht="15">
      <c r="B257" s="37"/>
      <c r="C257" s="37"/>
    </row>
    <row r="258" spans="2:3" ht="15">
      <c r="B258" s="37"/>
      <c r="C258" s="37"/>
    </row>
    <row r="259" spans="2:3" ht="15">
      <c r="B259" s="37"/>
      <c r="C259" s="37"/>
    </row>
    <row r="260" spans="2:3" ht="15">
      <c r="B260" s="37"/>
      <c r="C260" s="37"/>
    </row>
    <row r="261" spans="2:3" ht="15">
      <c r="B261" s="37"/>
      <c r="C261" s="37"/>
    </row>
    <row r="262" spans="2:3" ht="15">
      <c r="B262" s="37"/>
      <c r="C262" s="37"/>
    </row>
    <row r="263" spans="2:3" ht="15">
      <c r="B263" s="37"/>
      <c r="C263" s="37"/>
    </row>
    <row r="264" spans="2:3" ht="15">
      <c r="B264" s="37"/>
      <c r="C264" s="37"/>
    </row>
    <row r="265" spans="2:3" ht="15">
      <c r="B265" s="37"/>
      <c r="C265" s="37"/>
    </row>
    <row r="266" spans="2:3" ht="15">
      <c r="B266" s="37"/>
      <c r="C266" s="37"/>
    </row>
    <row r="267" spans="2:3" ht="15">
      <c r="B267" s="37"/>
      <c r="C267" s="37"/>
    </row>
    <row r="268" spans="2:3" ht="15">
      <c r="B268" s="37"/>
      <c r="C268" s="37"/>
    </row>
    <row r="269" spans="2:3" ht="15">
      <c r="B269" s="37"/>
      <c r="C269" s="37"/>
    </row>
    <row r="270" spans="2:3" ht="15">
      <c r="B270" s="37"/>
      <c r="C270" s="37"/>
    </row>
    <row r="271" spans="2:3" ht="15">
      <c r="B271" s="37"/>
      <c r="C271" s="37"/>
    </row>
    <row r="272" spans="2:3" ht="15">
      <c r="B272" s="37"/>
      <c r="C272" s="37"/>
    </row>
    <row r="273" spans="2:3" ht="15">
      <c r="B273" s="37"/>
      <c r="C273" s="37"/>
    </row>
    <row r="274" spans="2:3" ht="15">
      <c r="B274" s="37"/>
      <c r="C274" s="37"/>
    </row>
    <row r="275" spans="2:3" ht="15">
      <c r="B275" s="37"/>
      <c r="C275" s="37"/>
    </row>
    <row r="276" spans="2:3" ht="15">
      <c r="B276" s="37"/>
      <c r="C276" s="37"/>
    </row>
    <row r="277" spans="2:3" ht="15">
      <c r="B277" s="37"/>
      <c r="C277" s="37"/>
    </row>
    <row r="278" spans="2:3" ht="15">
      <c r="B278" s="37"/>
      <c r="C278" s="37"/>
    </row>
    <row r="279" spans="2:3" ht="15">
      <c r="B279" s="37"/>
      <c r="C279" s="37"/>
    </row>
    <row r="280" spans="2:3" ht="15">
      <c r="B280" s="37"/>
      <c r="C280" s="37"/>
    </row>
    <row r="281" spans="2:3" ht="15">
      <c r="B281" s="37"/>
      <c r="C281" s="37"/>
    </row>
    <row r="282" spans="2:3" ht="15">
      <c r="B282" s="37"/>
      <c r="C282" s="37"/>
    </row>
    <row r="283" spans="2:3" ht="15">
      <c r="B283" s="37"/>
      <c r="C283" s="37"/>
    </row>
    <row r="284" spans="2:3" ht="15">
      <c r="B284" s="37"/>
      <c r="C284" s="37"/>
    </row>
    <row r="285" spans="2:3" ht="15">
      <c r="B285" s="37"/>
      <c r="C285" s="37"/>
    </row>
    <row r="286" spans="2:3" ht="15">
      <c r="B286" s="37"/>
      <c r="C286" s="37"/>
    </row>
    <row r="287" spans="2:3" ht="15">
      <c r="B287" s="37"/>
      <c r="C287" s="37"/>
    </row>
    <row r="288" spans="2:3" ht="15">
      <c r="B288" s="37"/>
      <c r="C288" s="37"/>
    </row>
    <row r="289" spans="2:3" ht="15">
      <c r="B289" s="37"/>
      <c r="C289" s="37"/>
    </row>
    <row r="290" spans="2:3" ht="15">
      <c r="B290" s="37"/>
      <c r="C290" s="37"/>
    </row>
    <row r="291" spans="2:3" ht="15">
      <c r="B291" s="37"/>
      <c r="C291" s="37"/>
    </row>
    <row r="292" spans="2:3" ht="15">
      <c r="B292" s="37"/>
      <c r="C292" s="37"/>
    </row>
    <row r="293" spans="2:3" ht="15">
      <c r="B293" s="37"/>
      <c r="C293" s="37"/>
    </row>
    <row r="294" spans="2:3" ht="15">
      <c r="B294" s="37"/>
      <c r="C294" s="37"/>
    </row>
    <row r="295" spans="2:3" ht="15">
      <c r="B295" s="37"/>
      <c r="C295" s="37"/>
    </row>
    <row r="296" spans="2:3" ht="15">
      <c r="B296" s="37"/>
      <c r="C296" s="37"/>
    </row>
    <row r="297" spans="2:3" ht="15">
      <c r="B297" s="37"/>
      <c r="C297" s="37"/>
    </row>
    <row r="298" spans="2:3" ht="15">
      <c r="B298" s="37"/>
      <c r="C298" s="37"/>
    </row>
    <row r="299" spans="2:3" ht="15">
      <c r="B299" s="37"/>
      <c r="C299" s="37"/>
    </row>
    <row r="300" spans="2:3" ht="15">
      <c r="B300" s="37"/>
      <c r="C300" s="37"/>
    </row>
    <row r="301" spans="2:3" ht="15">
      <c r="B301" s="37"/>
      <c r="C301" s="37"/>
    </row>
    <row r="302" spans="2:3" ht="15">
      <c r="B302" s="37"/>
      <c r="C302" s="37"/>
    </row>
    <row r="303" spans="2:3" ht="15">
      <c r="B303" s="37"/>
      <c r="C303" s="37"/>
    </row>
    <row r="304" spans="2:3" ht="15">
      <c r="B304" s="37"/>
      <c r="C304" s="37"/>
    </row>
    <row r="305" spans="2:3" ht="15">
      <c r="B305" s="37"/>
      <c r="C305" s="37"/>
    </row>
    <row r="306" spans="2:3" ht="15">
      <c r="B306" s="37"/>
      <c r="C306" s="37"/>
    </row>
    <row r="307" spans="2:3" ht="15">
      <c r="B307" s="37"/>
      <c r="C307" s="37"/>
    </row>
    <row r="308" spans="2:3" ht="15">
      <c r="B308" s="37"/>
      <c r="C308" s="37"/>
    </row>
    <row r="309" spans="2:3" ht="15">
      <c r="B309" s="37"/>
      <c r="C309" s="37"/>
    </row>
    <row r="310" spans="2:3" ht="15">
      <c r="B310" s="37"/>
      <c r="C310" s="37"/>
    </row>
    <row r="311" spans="2:3" ht="15">
      <c r="B311" s="37"/>
      <c r="C311" s="37"/>
    </row>
    <row r="312" spans="2:3" ht="15">
      <c r="B312" s="37"/>
      <c r="C312" s="37"/>
    </row>
    <row r="313" spans="2:3" ht="15">
      <c r="B313" s="37"/>
      <c r="C313" s="37"/>
    </row>
    <row r="314" spans="2:3" ht="15">
      <c r="B314" s="37"/>
      <c r="C314" s="37"/>
    </row>
    <row r="315" spans="2:3" ht="15">
      <c r="B315" s="37"/>
      <c r="C315" s="37"/>
    </row>
    <row r="316" spans="2:3" ht="15">
      <c r="B316" s="37"/>
      <c r="C316" s="37"/>
    </row>
    <row r="317" spans="2:3" ht="15">
      <c r="B317" s="37"/>
      <c r="C317" s="37"/>
    </row>
    <row r="318" spans="2:3" ht="15">
      <c r="B318" s="37"/>
      <c r="C318" s="37"/>
    </row>
    <row r="319" spans="2:3" ht="15">
      <c r="B319" s="37"/>
      <c r="C319" s="37"/>
    </row>
    <row r="320" spans="2:3" ht="15">
      <c r="B320" s="37"/>
      <c r="C320" s="37"/>
    </row>
    <row r="321" spans="2:3" ht="15">
      <c r="B321" s="37"/>
      <c r="C321" s="37"/>
    </row>
    <row r="322" spans="2:3" ht="15">
      <c r="B322" s="37"/>
      <c r="C322" s="37"/>
    </row>
    <row r="323" spans="2:3" ht="15">
      <c r="B323" s="37"/>
      <c r="C323" s="37"/>
    </row>
    <row r="324" spans="2:3" ht="15">
      <c r="B324" s="37"/>
      <c r="C324" s="37"/>
    </row>
    <row r="325" spans="2:3" ht="15">
      <c r="B325" s="37"/>
      <c r="C325" s="37"/>
    </row>
    <row r="326" spans="2:3" ht="15">
      <c r="B326" s="37"/>
      <c r="C326" s="37"/>
    </row>
  </sheetData>
  <sheetProtection/>
  <mergeCells count="4">
    <mergeCell ref="A29:B29"/>
    <mergeCell ref="A7:M7"/>
    <mergeCell ref="A34:M34"/>
    <mergeCell ref="A31:M31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60" r:id="rId2"/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flavia.correa</dc:creator>
  <cp:keywords/>
  <dc:description/>
  <cp:lastModifiedBy>flavia.correa</cp:lastModifiedBy>
  <cp:lastPrinted>2022-07-04T18:23:38Z</cp:lastPrinted>
  <dcterms:created xsi:type="dcterms:W3CDTF">2016-06-30T17:05:40Z</dcterms:created>
  <dcterms:modified xsi:type="dcterms:W3CDTF">2023-01-09T17:50:23Z</dcterms:modified>
  <cp:category/>
  <cp:version/>
  <cp:contentType/>
  <cp:contentStatus/>
</cp:coreProperties>
</file>