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8250" activeTab="0"/>
  </bookViews>
  <sheets>
    <sheet name="2021" sheetId="1" r:id="rId1"/>
    <sheet name="COMPARATIVO 2017 A 2021" sheetId="2" r:id="rId2"/>
  </sheets>
  <definedNames/>
  <calcPr fullCalcOnLoad="1"/>
</workbook>
</file>

<file path=xl/sharedStrings.xml><?xml version="1.0" encoding="utf-8"?>
<sst xmlns="http://schemas.openxmlformats.org/spreadsheetml/2006/main" count="72" uniqueCount="71">
  <si>
    <t>tabela I</t>
  </si>
  <si>
    <t>tabela II</t>
  </si>
  <si>
    <t>tabela III</t>
  </si>
  <si>
    <t>tabela V</t>
  </si>
  <si>
    <t>barrilha</t>
  </si>
  <si>
    <t>sulfato</t>
  </si>
  <si>
    <t>malte</t>
  </si>
  <si>
    <t>cevada</t>
  </si>
  <si>
    <t>animais vivos</t>
  </si>
  <si>
    <t>carga projeto</t>
  </si>
  <si>
    <t>ulexita</t>
  </si>
  <si>
    <t>chapas de aço</t>
  </si>
  <si>
    <t>oxido de alumínio</t>
  </si>
  <si>
    <t>totais</t>
  </si>
  <si>
    <t>canal navios de turismo</t>
  </si>
  <si>
    <t>operações de apoio portuário</t>
  </si>
  <si>
    <t xml:space="preserve"> </t>
  </si>
  <si>
    <t>tonelagem movimentada</t>
  </si>
  <si>
    <t>média R$/ton</t>
  </si>
  <si>
    <t>demonstração gráfica - receita por produto</t>
  </si>
  <si>
    <t>veículos *</t>
  </si>
  <si>
    <t>Canal navios tanque</t>
  </si>
  <si>
    <t>total R$</t>
  </si>
  <si>
    <t>QUANTIDADE</t>
  </si>
  <si>
    <t>*carga geral expressa também em quantidade</t>
  </si>
  <si>
    <t>% participação</t>
  </si>
  <si>
    <t>CEATE - ressarcimento</t>
  </si>
  <si>
    <t>gipsita a granel</t>
  </si>
  <si>
    <t>bags químicos</t>
  </si>
  <si>
    <t>Guarda de equip.proprios + BOX</t>
  </si>
  <si>
    <t>alumina calcinada</t>
  </si>
  <si>
    <t>carvão mineral</t>
  </si>
  <si>
    <t>silicato de caulin granel líquido</t>
  </si>
  <si>
    <t>equipamentos</t>
  </si>
  <si>
    <t>siderúrgicos diversos</t>
  </si>
  <si>
    <t>açucar em sacas</t>
  </si>
  <si>
    <t>BARRILHA</t>
  </si>
  <si>
    <t>SULFATO</t>
  </si>
  <si>
    <t>MALTE</t>
  </si>
  <si>
    <t>CEVADA</t>
  </si>
  <si>
    <t>ULEXITA</t>
  </si>
  <si>
    <t>OXIDO DE ALUMÍNIO</t>
  </si>
  <si>
    <t>GIPSITA</t>
  </si>
  <si>
    <t>TUBOS DE AÇO</t>
  </si>
  <si>
    <t>ANIMAIS VIVOS</t>
  </si>
  <si>
    <t>VEICULOS</t>
  </si>
  <si>
    <t>CHAPAS AÇO</t>
  </si>
  <si>
    <t>APOIO PORTUÁRIO</t>
  </si>
  <si>
    <t>BAGS QUÍMICOS</t>
  </si>
  <si>
    <t>ALUMINA CALCINADA</t>
  </si>
  <si>
    <t>CARVÃO MINERAL</t>
  </si>
  <si>
    <t>SILICATO CAULIN LÍQUIDO</t>
  </si>
  <si>
    <t>TOTAL CARGA</t>
  </si>
  <si>
    <t>TOTAL FATURADO</t>
  </si>
  <si>
    <t>GERAL POR TONELADA</t>
  </si>
  <si>
    <t>Valor médio faturado por produto/ano por tonelada</t>
  </si>
  <si>
    <t>AÇUCAR EM SACAS</t>
  </si>
  <si>
    <t>EQUIPAMENTOS</t>
  </si>
  <si>
    <t>milho em sacas</t>
  </si>
  <si>
    <t>MILHO EM SACAS</t>
  </si>
  <si>
    <t>silicato de vidro</t>
  </si>
  <si>
    <t>receitas administ. E financeiras</t>
  </si>
  <si>
    <t>SILICATO DE VIDRO</t>
  </si>
  <si>
    <t>tabela VII</t>
  </si>
  <si>
    <t>tabela IX</t>
  </si>
  <si>
    <t>tabela VIII</t>
  </si>
  <si>
    <t>CONTRATO DE PASSAGEM</t>
  </si>
  <si>
    <r>
      <rPr>
        <b/>
        <sz val="16"/>
        <color indexed="8"/>
        <rFont val="Calibri"/>
        <family val="2"/>
      </rPr>
      <t>2021</t>
    </r>
    <r>
      <rPr>
        <b/>
        <sz val="11"/>
        <color indexed="8"/>
        <rFont val="Calibri"/>
        <family val="2"/>
      </rPr>
      <t xml:space="preserve"> - Receita faturada por produto / tabela - média faturada por produto -  de ficha 62/20 até ficha 051/21 - DEZEMBRO/21</t>
    </r>
  </si>
  <si>
    <t>Phosfato monoamônico</t>
  </si>
  <si>
    <t>operações de apoio marítimo</t>
  </si>
  <si>
    <t>PHOSFATO MONOAMÔNICO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</si>
</sst>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00_-;\-* #,##0.000_-;_-* &quot;-&quot;???_-;_-@_-"/>
    <numFmt numFmtId="166" formatCode="_-* #,##0.0_-;\-* #,##0.0_-;_-* &quot;-&quot;??_-;_-@_-"/>
    <numFmt numFmtId="167" formatCode="_-* #,##0_-;\-* #,##0_-;_-* &quot;-&quot;??_-;_-@_-"/>
    <numFmt numFmtId="168" formatCode="0.0%"/>
    <numFmt numFmtId="169" formatCode="_-* #,##0.0000_-;\-* #,##0.0000_-;_-* &quot;-&quot;??_-;_-@_-"/>
    <numFmt numFmtId="170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color theme="4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10" xfId="51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164" fontId="0" fillId="0" borderId="10" xfId="51" applyNumberFormat="1" applyFont="1" applyBorder="1" applyAlignment="1">
      <alignment/>
    </xf>
    <xf numFmtId="164" fontId="0" fillId="0" borderId="0" xfId="51" applyNumberFormat="1" applyFont="1" applyAlignment="1">
      <alignment/>
    </xf>
    <xf numFmtId="165" fontId="0" fillId="0" borderId="0" xfId="0" applyNumberFormat="1" applyAlignment="1">
      <alignment/>
    </xf>
    <xf numFmtId="43" fontId="0" fillId="0" borderId="0" xfId="51" applyFont="1" applyAlignment="1">
      <alignment/>
    </xf>
    <xf numFmtId="164" fontId="0" fillId="33" borderId="10" xfId="51" applyNumberFormat="1" applyFont="1" applyFill="1" applyBorder="1" applyAlignment="1">
      <alignment/>
    </xf>
    <xf numFmtId="43" fontId="0" fillId="0" borderId="0" xfId="51" applyFont="1" applyAlignment="1">
      <alignment/>
    </xf>
    <xf numFmtId="0" fontId="0" fillId="0" borderId="0" xfId="0" applyFill="1" applyBorder="1" applyAlignment="1">
      <alignment horizontal="center"/>
    </xf>
    <xf numFmtId="43" fontId="0" fillId="0" borderId="10" xfId="51" applyFont="1" applyBorder="1" applyAlignment="1">
      <alignment/>
    </xf>
    <xf numFmtId="43" fontId="0" fillId="0" borderId="0" xfId="51" applyFont="1" applyAlignment="1">
      <alignment/>
    </xf>
    <xf numFmtId="43" fontId="0" fillId="0" borderId="10" xfId="51" applyFont="1" applyBorder="1" applyAlignment="1">
      <alignment/>
    </xf>
    <xf numFmtId="43" fontId="0" fillId="0" borderId="10" xfId="51" applyFont="1" applyFill="1" applyBorder="1" applyAlignment="1">
      <alignment/>
    </xf>
    <xf numFmtId="43" fontId="0" fillId="0" borderId="10" xfId="51" applyFont="1" applyBorder="1" applyAlignment="1">
      <alignment/>
    </xf>
    <xf numFmtId="43" fontId="0" fillId="0" borderId="10" xfId="51" applyFont="1" applyFill="1" applyBorder="1" applyAlignment="1">
      <alignment/>
    </xf>
    <xf numFmtId="43" fontId="0" fillId="33" borderId="10" xfId="51" applyFont="1" applyFill="1" applyBorder="1" applyAlignment="1">
      <alignment/>
    </xf>
    <xf numFmtId="164" fontId="0" fillId="33" borderId="10" xfId="51" applyNumberFormat="1" applyFont="1" applyFill="1" applyBorder="1" applyAlignment="1">
      <alignment/>
    </xf>
    <xf numFmtId="43" fontId="0" fillId="0" borderId="10" xfId="51" applyFont="1" applyBorder="1" applyAlignment="1">
      <alignment/>
    </xf>
    <xf numFmtId="43" fontId="0" fillId="0" borderId="0" xfId="51" applyFont="1" applyAlignment="1">
      <alignment/>
    </xf>
    <xf numFmtId="43" fontId="0" fillId="0" borderId="10" xfId="51" applyFont="1" applyBorder="1" applyAlignment="1">
      <alignment/>
    </xf>
    <xf numFmtId="43" fontId="0" fillId="0" borderId="10" xfId="51" applyFont="1" applyBorder="1" applyAlignment="1">
      <alignment/>
    </xf>
    <xf numFmtId="0" fontId="0" fillId="0" borderId="12" xfId="0" applyBorder="1" applyAlignment="1">
      <alignment/>
    </xf>
    <xf numFmtId="43" fontId="0" fillId="0" borderId="12" xfId="0" applyNumberFormat="1" applyBorder="1" applyAlignment="1">
      <alignment/>
    </xf>
    <xf numFmtId="167" fontId="0" fillId="34" borderId="12" xfId="51" applyNumberFormat="1" applyFont="1" applyFill="1" applyBorder="1" applyAlignment="1">
      <alignment/>
    </xf>
    <xf numFmtId="0" fontId="39" fillId="0" borderId="13" xfId="0" applyFont="1" applyFill="1" applyBorder="1" applyAlignment="1">
      <alignment horizontal="center"/>
    </xf>
    <xf numFmtId="10" fontId="0" fillId="0" borderId="0" xfId="49" applyNumberFormat="1" applyFont="1" applyAlignment="1">
      <alignment/>
    </xf>
    <xf numFmtId="10" fontId="0" fillId="0" borderId="0" xfId="0" applyNumberFormat="1" applyAlignment="1">
      <alignment/>
    </xf>
    <xf numFmtId="167" fontId="0" fillId="33" borderId="12" xfId="0" applyNumberFormat="1" applyFill="1" applyBorder="1" applyAlignment="1">
      <alignment/>
    </xf>
    <xf numFmtId="43" fontId="0" fillId="33" borderId="0" xfId="0" applyNumberFormat="1" applyFill="1" applyAlignment="1">
      <alignment/>
    </xf>
    <xf numFmtId="43" fontId="0" fillId="0" borderId="10" xfId="51" applyFont="1" applyBorder="1" applyAlignment="1">
      <alignment/>
    </xf>
    <xf numFmtId="43" fontId="0" fillId="0" borderId="10" xfId="51" applyFont="1" applyBorder="1" applyAlignment="1">
      <alignment/>
    </xf>
    <xf numFmtId="0" fontId="0" fillId="0" borderId="10" xfId="0" applyFill="1" applyBorder="1" applyAlignment="1">
      <alignment horizontal="center"/>
    </xf>
    <xf numFmtId="43" fontId="0" fillId="0" borderId="14" xfId="51" applyFont="1" applyBorder="1" applyAlignment="1">
      <alignment/>
    </xf>
    <xf numFmtId="43" fontId="0" fillId="0" borderId="15" xfId="51" applyFont="1" applyBorder="1" applyAlignment="1">
      <alignment/>
    </xf>
    <xf numFmtId="164" fontId="0" fillId="33" borderId="10" xfId="51" applyNumberFormat="1" applyFont="1" applyFill="1" applyBorder="1" applyAlignment="1">
      <alignment/>
    </xf>
    <xf numFmtId="43" fontId="0" fillId="0" borderId="13" xfId="51" applyFont="1" applyBorder="1" applyAlignment="1">
      <alignment/>
    </xf>
    <xf numFmtId="43" fontId="0" fillId="0" borderId="10" xfId="51" applyFont="1" applyBorder="1" applyAlignment="1">
      <alignment/>
    </xf>
    <xf numFmtId="0" fontId="24" fillId="0" borderId="0" xfId="0" applyFont="1" applyAlignment="1">
      <alignment/>
    </xf>
    <xf numFmtId="0" fontId="27" fillId="35" borderId="11" xfId="0" applyFont="1" applyFill="1" applyBorder="1" applyAlignment="1">
      <alignment horizontal="center"/>
    </xf>
    <xf numFmtId="164" fontId="0" fillId="0" borderId="11" xfId="51" applyNumberFormat="1" applyFont="1" applyBorder="1" applyAlignment="1">
      <alignment/>
    </xf>
    <xf numFmtId="43" fontId="0" fillId="0" borderId="11" xfId="51" applyFont="1" applyBorder="1" applyAlignment="1">
      <alignment/>
    </xf>
    <xf numFmtId="43" fontId="27" fillId="35" borderId="11" xfId="51" applyFont="1" applyFill="1" applyBorder="1" applyAlignment="1">
      <alignment/>
    </xf>
    <xf numFmtId="0" fontId="0" fillId="0" borderId="13" xfId="0" applyBorder="1" applyAlignment="1">
      <alignment horizontal="center"/>
    </xf>
    <xf numFmtId="43" fontId="0" fillId="0" borderId="10" xfId="51" applyFont="1" applyBorder="1" applyAlignment="1">
      <alignment/>
    </xf>
    <xf numFmtId="43" fontId="0" fillId="0" borderId="0" xfId="51" applyFont="1" applyAlignment="1">
      <alignment/>
    </xf>
    <xf numFmtId="0" fontId="0" fillId="0" borderId="16" xfId="0" applyBorder="1" applyAlignment="1">
      <alignment/>
    </xf>
    <xf numFmtId="43" fontId="0" fillId="0" borderId="0" xfId="51" applyFont="1" applyBorder="1" applyAlignment="1">
      <alignment/>
    </xf>
    <xf numFmtId="0" fontId="39" fillId="0" borderId="17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39" fillId="4" borderId="13" xfId="0" applyFont="1" applyFill="1" applyBorder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11" xfId="0" applyNumberFormat="1" applyBorder="1" applyAlignment="1">
      <alignment/>
    </xf>
    <xf numFmtId="164" fontId="0" fillId="33" borderId="18" xfId="51" applyNumberFormat="1" applyFont="1" applyFill="1" applyBorder="1" applyAlignment="1">
      <alignment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43" fontId="0" fillId="4" borderId="11" xfId="0" applyNumberFormat="1" applyFill="1" applyBorder="1" applyAlignment="1">
      <alignment/>
    </xf>
    <xf numFmtId="43" fontId="0" fillId="4" borderId="11" xfId="51" applyFont="1" applyFill="1" applyBorder="1" applyAlignment="1">
      <alignment/>
    </xf>
    <xf numFmtId="43" fontId="0" fillId="4" borderId="17" xfId="51" applyFont="1" applyFill="1" applyBorder="1" applyAlignment="1">
      <alignment/>
    </xf>
    <xf numFmtId="43" fontId="39" fillId="4" borderId="11" xfId="0" applyNumberFormat="1" applyFont="1" applyFill="1" applyBorder="1" applyAlignment="1">
      <alignment/>
    </xf>
    <xf numFmtId="0" fontId="27" fillId="35" borderId="10" xfId="0" applyFont="1" applyFill="1" applyBorder="1" applyAlignment="1">
      <alignment horizontal="center"/>
    </xf>
    <xf numFmtId="43" fontId="0" fillId="0" borderId="13" xfId="51" applyFont="1" applyFill="1" applyBorder="1" applyAlignment="1">
      <alignment/>
    </xf>
    <xf numFmtId="164" fontId="0" fillId="0" borderId="11" xfId="51" applyNumberFormat="1" applyFont="1" applyFill="1" applyBorder="1" applyAlignment="1">
      <alignment/>
    </xf>
    <xf numFmtId="43" fontId="0" fillId="0" borderId="11" xfId="51" applyFont="1" applyFill="1" applyBorder="1" applyAlignment="1">
      <alignment/>
    </xf>
    <xf numFmtId="43" fontId="0" fillId="0" borderId="0" xfId="49" applyNumberFormat="1" applyFont="1" applyAlignment="1">
      <alignment/>
    </xf>
    <xf numFmtId="0" fontId="0" fillId="12" borderId="0" xfId="0" applyFill="1" applyBorder="1" applyAlignment="1">
      <alignment/>
    </xf>
    <xf numFmtId="43" fontId="0" fillId="12" borderId="0" xfId="51" applyFont="1" applyFill="1" applyBorder="1" applyAlignment="1">
      <alignment/>
    </xf>
    <xf numFmtId="165" fontId="0" fillId="12" borderId="0" xfId="0" applyNumberFormat="1" applyFill="1" applyBorder="1" applyAlignment="1">
      <alignment/>
    </xf>
    <xf numFmtId="43" fontId="0" fillId="33" borderId="10" xfId="0" applyNumberFormat="1" applyFill="1" applyBorder="1" applyAlignment="1">
      <alignment/>
    </xf>
    <xf numFmtId="43" fontId="0" fillId="0" borderId="10" xfId="51" applyFont="1" applyBorder="1" applyAlignment="1">
      <alignment/>
    </xf>
    <xf numFmtId="43" fontId="0" fillId="0" borderId="10" xfId="51" applyFont="1" applyBorder="1" applyAlignment="1">
      <alignment/>
    </xf>
    <xf numFmtId="43" fontId="0" fillId="0" borderId="15" xfId="51" applyFont="1" applyBorder="1" applyAlignment="1">
      <alignment/>
    </xf>
    <xf numFmtId="43" fontId="0" fillId="0" borderId="14" xfId="51" applyFont="1" applyBorder="1" applyAlignment="1">
      <alignment/>
    </xf>
    <xf numFmtId="43" fontId="0" fillId="0" borderId="19" xfId="51" applyFont="1" applyBorder="1" applyAlignment="1">
      <alignment/>
    </xf>
    <xf numFmtId="9" fontId="41" fillId="0" borderId="13" xfId="49" applyFont="1" applyBorder="1" applyAlignment="1">
      <alignment horizontal="center"/>
    </xf>
    <xf numFmtId="9" fontId="42" fillId="0" borderId="10" xfId="49" applyFont="1" applyBorder="1" applyAlignment="1">
      <alignment horizontal="center"/>
    </xf>
    <xf numFmtId="9" fontId="41" fillId="0" borderId="10" xfId="49" applyFont="1" applyBorder="1" applyAlignment="1">
      <alignment horizontal="center"/>
    </xf>
    <xf numFmtId="9" fontId="42" fillId="0" borderId="11" xfId="49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43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12" borderId="0" xfId="0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0225"/>
          <c:w val="0.98575"/>
          <c:h val="0.95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'2021'!$A$10:$A$38</c:f>
              <c:strCache/>
            </c:strRef>
          </c:cat>
          <c:val>
            <c:numRef>
              <c:f>'2021'!$I$10:$I$38</c:f>
              <c:numCache/>
            </c:numRef>
          </c:val>
          <c:shape val="box"/>
        </c:ser>
        <c:shape val="box"/>
        <c:axId val="33328291"/>
        <c:axId val="31519164"/>
      </c:bar3DChart>
      <c:catAx>
        <c:axId val="33328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519164"/>
        <c:crosses val="autoZero"/>
        <c:auto val="1"/>
        <c:lblOffset val="100"/>
        <c:tickLblSkip val="1"/>
        <c:noMultiLvlLbl val="0"/>
      </c:catAx>
      <c:valAx>
        <c:axId val="315191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28291"/>
        <c:crossesAt val="1"/>
        <c:crossBetween val="between"/>
        <c:dispUnits/>
      </c:valAx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24"/>
          <c:w val="0.887"/>
          <c:h val="0.9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'COMPARATIVO 2017 A 2021'!$C$7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'COMPARATIVO 2017 A 2021'!$B$8:$B$28</c:f>
              <c:strCache/>
            </c:strRef>
          </c:cat>
          <c:val>
            <c:numRef>
              <c:f>'COMPARATIVO 2017 A 2021'!$C$8:$C$28</c:f>
              <c:numCache/>
            </c:numRef>
          </c:val>
          <c:shape val="box"/>
        </c:ser>
        <c:ser>
          <c:idx val="1"/>
          <c:order val="1"/>
          <c:tx>
            <c:strRef>
              <c:f>'COMPARATIVO 2017 A 2021'!$D$7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'COMPARATIVO 2017 A 2021'!$B$8:$B$28</c:f>
              <c:strCache/>
            </c:strRef>
          </c:cat>
          <c:val>
            <c:numRef>
              <c:f>'COMPARATIVO 2017 A 2021'!$D$8:$D$28</c:f>
              <c:numCache/>
            </c:numRef>
          </c:val>
          <c:shape val="box"/>
        </c:ser>
        <c:ser>
          <c:idx val="2"/>
          <c:order val="2"/>
          <c:tx>
            <c:strRef>
              <c:f>'COMPARATIVO 2017 A 2021'!$E$7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'COMPARATIVO 2017 A 2021'!$B$8:$B$28</c:f>
              <c:strCache/>
            </c:strRef>
          </c:cat>
          <c:val>
            <c:numRef>
              <c:f>'COMPARATIVO 2017 A 2021'!$E$8:$E$28</c:f>
              <c:numCache/>
            </c:numRef>
          </c:val>
          <c:shape val="box"/>
        </c:ser>
        <c:ser>
          <c:idx val="3"/>
          <c:order val="3"/>
          <c:tx>
            <c:strRef>
              <c:f>'COMPARATIVO 2017 A 2021'!$F$7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'COMPARATIVO 2017 A 2021'!$B$8:$B$28</c:f>
              <c:strCache/>
            </c:strRef>
          </c:cat>
          <c:val>
            <c:numRef>
              <c:f>'COMPARATIVO 2017 A 2021'!$F$8:$F$28</c:f>
              <c:numCache/>
            </c:numRef>
          </c:val>
          <c:shape val="box"/>
        </c:ser>
        <c:ser>
          <c:idx val="4"/>
          <c:order val="4"/>
          <c:tx>
            <c:strRef>
              <c:f>'COMPARATIVO 2017 A 2021'!$G$7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'COMPARATIVO 2017 A 2021'!$B$8:$B$28</c:f>
              <c:strCache/>
            </c:strRef>
          </c:cat>
          <c:val>
            <c:numRef>
              <c:f>'COMPARATIVO 2017 A 2021'!$G$8:$G$28</c:f>
              <c:numCache/>
            </c:numRef>
          </c:val>
          <c:shape val="box"/>
        </c:ser>
        <c:shape val="box"/>
        <c:axId val="15237021"/>
        <c:axId val="2915462"/>
      </c:bar3DChart>
      <c:catAx>
        <c:axId val="1523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15462"/>
        <c:crosses val="autoZero"/>
        <c:auto val="1"/>
        <c:lblOffset val="100"/>
        <c:tickLblSkip val="1"/>
        <c:noMultiLvlLbl val="0"/>
      </c:catAx>
      <c:valAx>
        <c:axId val="2915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37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75"/>
          <c:y val="0.34825"/>
          <c:w val="0.071"/>
          <c:h val="0.29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EE7F2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46</xdr:row>
      <xdr:rowOff>38100</xdr:rowOff>
    </xdr:from>
    <xdr:to>
      <xdr:col>13</xdr:col>
      <xdr:colOff>0</xdr:colOff>
      <xdr:row>67</xdr:row>
      <xdr:rowOff>171450</xdr:rowOff>
    </xdr:to>
    <xdr:graphicFrame>
      <xdr:nvGraphicFramePr>
        <xdr:cNvPr id="1" name="Gráfico 5"/>
        <xdr:cNvGraphicFramePr/>
      </xdr:nvGraphicFramePr>
      <xdr:xfrm>
        <a:off x="219075" y="10306050"/>
        <a:ext cx="141541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85725</xdr:rowOff>
    </xdr:from>
    <xdr:to>
      <xdr:col>0</xdr:col>
      <xdr:colOff>1752600</xdr:colOff>
      <xdr:row>4</xdr:row>
      <xdr:rowOff>104775</xdr:rowOff>
    </xdr:to>
    <xdr:pic>
      <xdr:nvPicPr>
        <xdr:cNvPr id="2" name="image0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5725"/>
          <a:ext cx="16573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1</xdr:col>
      <xdr:colOff>1371600</xdr:colOff>
      <xdr:row>3</xdr:row>
      <xdr:rowOff>95250</xdr:rowOff>
    </xdr:to>
    <xdr:pic>
      <xdr:nvPicPr>
        <xdr:cNvPr id="1" name="Imagem 1" descr="C:\Documents and Settings\paulomatos\Meus documentos\DOCAS SAO SEBASTIÃO\IMPRESSOS\PortoSaoSebastiao_CMYK-versao10 - com linha cin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5250"/>
          <a:ext cx="1371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31</xdr:row>
      <xdr:rowOff>190500</xdr:rowOff>
    </xdr:from>
    <xdr:to>
      <xdr:col>7</xdr:col>
      <xdr:colOff>28575</xdr:colOff>
      <xdr:row>52</xdr:row>
      <xdr:rowOff>104775</xdr:rowOff>
    </xdr:to>
    <xdr:graphicFrame>
      <xdr:nvGraphicFramePr>
        <xdr:cNvPr id="2" name="Gráfico 3"/>
        <xdr:cNvGraphicFramePr/>
      </xdr:nvGraphicFramePr>
      <xdr:xfrm>
        <a:off x="523875" y="6096000"/>
        <a:ext cx="66484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7"/>
  <sheetViews>
    <sheetView showGridLines="0" tabSelected="1" zoomScale="85" zoomScaleNormal="85" zoomScalePageLayoutView="0" workbookViewId="0" topLeftCell="A1">
      <selection activeCell="P28" sqref="P28"/>
    </sheetView>
  </sheetViews>
  <sheetFormatPr defaultColWidth="9.140625" defaultRowHeight="15"/>
  <cols>
    <col min="1" max="1" width="31.8515625" style="0" bestFit="1" customWidth="1"/>
    <col min="2" max="2" width="15.140625" style="54" bestFit="1" customWidth="1"/>
    <col min="3" max="3" width="14.28125" style="0" bestFit="1" customWidth="1"/>
    <col min="4" max="4" width="15.28125" style="0" bestFit="1" customWidth="1"/>
    <col min="5" max="5" width="15.140625" style="0" bestFit="1" customWidth="1"/>
    <col min="6" max="6" width="13.00390625" style="0" bestFit="1" customWidth="1"/>
    <col min="7" max="8" width="13.00390625" style="0" customWidth="1"/>
    <col min="9" max="9" width="20.28125" style="0" bestFit="1" customWidth="1"/>
    <col min="10" max="10" width="24.140625" style="0" bestFit="1" customWidth="1"/>
    <col min="11" max="11" width="13.57421875" style="0" bestFit="1" customWidth="1"/>
    <col min="12" max="13" width="13.421875" style="0" bestFit="1" customWidth="1"/>
    <col min="14" max="14" width="11.57421875" style="0" bestFit="1" customWidth="1"/>
    <col min="15" max="15" width="13.28125" style="0" bestFit="1" customWidth="1"/>
    <col min="16" max="16" width="11.57421875" style="0" bestFit="1" customWidth="1"/>
    <col min="17" max="18" width="10.57421875" style="0" bestFit="1" customWidth="1"/>
  </cols>
  <sheetData>
    <row r="1" spans="2:3" ht="15">
      <c r="B1" s="55"/>
      <c r="C1" s="55"/>
    </row>
    <row r="2" spans="1:9" ht="15">
      <c r="A2" s="14"/>
      <c r="B2" s="55"/>
      <c r="C2" s="55"/>
      <c r="D2" s="1"/>
      <c r="I2" s="13"/>
    </row>
    <row r="3" spans="1:9" ht="15">
      <c r="A3" s="14"/>
      <c r="B3" s="55"/>
      <c r="C3" s="55"/>
      <c r="D3" s="1"/>
      <c r="I3" s="13"/>
    </row>
    <row r="4" spans="1:9" ht="15">
      <c r="A4" s="14"/>
      <c r="B4" s="55"/>
      <c r="C4" s="55"/>
      <c r="D4" s="1"/>
      <c r="I4" s="16"/>
    </row>
    <row r="5" spans="1:9" ht="15">
      <c r="A5" s="14"/>
      <c r="B5" s="55"/>
      <c r="C5" s="55"/>
      <c r="D5" s="1"/>
      <c r="I5" s="16"/>
    </row>
    <row r="6" spans="2:9" ht="15">
      <c r="B6" s="52"/>
      <c r="C6" s="56"/>
      <c r="D6" s="1"/>
      <c r="E6" s="1"/>
      <c r="I6" s="11"/>
    </row>
    <row r="7" spans="1:13" ht="21">
      <c r="A7" s="87" t="s">
        <v>67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9" spans="1:13" ht="15">
      <c r="A9" s="6"/>
      <c r="B9" s="6" t="s">
        <v>0</v>
      </c>
      <c r="C9" s="53" t="s">
        <v>1</v>
      </c>
      <c r="D9" s="6" t="s">
        <v>2</v>
      </c>
      <c r="E9" s="6" t="s">
        <v>3</v>
      </c>
      <c r="F9" s="6" t="s">
        <v>63</v>
      </c>
      <c r="G9" s="6" t="s">
        <v>65</v>
      </c>
      <c r="H9" s="6" t="s">
        <v>64</v>
      </c>
      <c r="I9" s="6" t="s">
        <v>22</v>
      </c>
      <c r="J9" s="7" t="s">
        <v>17</v>
      </c>
      <c r="K9" s="7" t="s">
        <v>18</v>
      </c>
      <c r="L9" s="7" t="s">
        <v>23</v>
      </c>
      <c r="M9" s="30" t="s">
        <v>25</v>
      </c>
    </row>
    <row r="10" spans="1:13" ht="18.75">
      <c r="A10" s="62" t="s">
        <v>4</v>
      </c>
      <c r="B10" s="49">
        <f>9497.8+7656.4+12000+12000+1000+7766.05+12000+12000+9203.65+12000+12000+9497.8+7238.4+4761.6+2250+1473+6279.4+17976.3+5692.5+12164.43+4968.57+15998.4+13751.38+2426.72+6483.12+9957.57+6228.33+13128.3+17547.9+12633+3536.4+13125.3+17028.6+8683.2+9791.7+10368.6+8242.15+2190.95</f>
        <v>350547.52</v>
      </c>
      <c r="C10" s="38">
        <f>17325+31185+26950+29645+14245+18095+33495+40810+37730+33880+20405+33110+23485+42168.5+45768.25+15941.75+53482+36511.75+10799.25+117763.25+43197+20570+35997.5+35483.25+53482+51939.25</f>
        <v>923463.75</v>
      </c>
      <c r="D10" s="15">
        <f>46900+72689.97+30701.42+73700.12+36850+37865.75+95810+42545.02+64990.16+106865.08+40200+53600.04+6700+61640+33500+47570.06+13400+81619.43+24847.39+48489.52+42689.67+108023.14+19002.78+39840+24925.44+6405+17046.22+600+93352.28+10675+12810+23338.07+70492.36+19726.93+36267.84+32934.77+41632.5+30386.94+42704.86+113216.1+70475.28</f>
        <v>1877029.1400000004</v>
      </c>
      <c r="E10" s="21">
        <f>7233.64+29859.84+29126.41+1673.34+16139.92+19173.92+2.84+38349.41+23747.62+4620.38+11746.55+38349.41+14669.35+18410.19+4889.21+36128.41+872.26+2527.35+152.34+30786.02+1073.2+31108.6+10174.6+19391.29+152.34+28141.6+16031.07+4331.5+15.86+214.64+11685.36+30386.97+20213.09+152.34+10952.52+40663.21+27183.12+13798.02+571.06+797.15+35413.16+32000.6+16205.71+30794.99+29499.71+7113.98+4600.69+27614.08+29499.71+7113.98+23200+29499.71+30803.53+25676.86+44653.8+15343.48+12825.36+39654.96+13200.25+34588.45+5984.11+9325.72+18219.09+29500+22540.55+9352.72+18292.31+32000+44360.9+2179.65+12826.88+27376.67+35340.43+220.84+19054.5+20141.74+7917.35+3483.06+39586.53+10676.76+304.24+17538.62+23382.97+23532.23+14754.37+17930.08+7871.46+3191.71+5247.64+14325.71+26895.13+11929.94+14325.71+17740.09+8498.09+1810.22+2716.62+1278.14+4047.76+8861.07+10001.9+5447.78+5402.39+2077.48+7369.34+5447.78+7708.45+520+18697.36+5275.66+13684.79+4680+12890.74+6090.22+4680+4088.77+8634.14+152.66+5664.23+5720+9270.74+491.7+5200+7922.42+5200+43374.6</f>
        <v>1885053.7199999995</v>
      </c>
      <c r="F10" s="2">
        <f>15000+3435.2+6683.25+1436.5+1310.4+649.42+312.1+1439.11+727.89+1675.11+80000+2554.14+1438.23+1602.11+697.27+259.64+383.23+1617.78+73.81+613.07+663.38+769.17+2101.44+4735.82+1283.98+166.9+1315.01+601.32+539.26+291.02+1446.15+1440.59+1663.16+18433.8+2382.81+2880.33+25000+1442.79+12757.55</f>
        <v>201822.74</v>
      </c>
      <c r="G10" s="78">
        <v>0</v>
      </c>
      <c r="H10" s="77">
        <v>0</v>
      </c>
      <c r="I10" s="3">
        <f>SUM(B10:H10)</f>
        <v>5237916.87</v>
      </c>
      <c r="J10" s="60">
        <v>420100.9</v>
      </c>
      <c r="K10" s="49">
        <f>I10/J10</f>
        <v>12.468235297758229</v>
      </c>
      <c r="L10" s="51"/>
      <c r="M10" s="82">
        <f>I10/I39</f>
        <v>0.23474677055248258</v>
      </c>
    </row>
    <row r="11" spans="1:13" ht="18.75">
      <c r="A11" s="5" t="s">
        <v>5</v>
      </c>
      <c r="B11" s="49">
        <f>15477.3</f>
        <v>15477.3</v>
      </c>
      <c r="C11" s="38">
        <f>33940.5</f>
        <v>33940.5</v>
      </c>
      <c r="D11" s="2">
        <f>33958.88+41632.5</f>
        <v>75591.38</v>
      </c>
      <c r="E11" s="2">
        <v>0</v>
      </c>
      <c r="F11" s="2">
        <f>2863.04</f>
        <v>2863.04</v>
      </c>
      <c r="G11" s="78">
        <v>0</v>
      </c>
      <c r="H11" s="77">
        <v>0</v>
      </c>
      <c r="I11" s="3">
        <f>SUM(B11:H11)</f>
        <v>127872.22</v>
      </c>
      <c r="J11" s="12">
        <v>7952.9</v>
      </c>
      <c r="K11" s="49">
        <f>I11/J11</f>
        <v>16.078690792038124</v>
      </c>
      <c r="L11" s="27"/>
      <c r="M11" s="83"/>
    </row>
    <row r="12" spans="1:13" ht="18.75">
      <c r="A12" s="5" t="s">
        <v>6</v>
      </c>
      <c r="B12" s="49">
        <f>12000+8080.75+9225.55+12000+8433.3</f>
        <v>49739.600000000006</v>
      </c>
      <c r="C12" s="38">
        <f>58520+53515+21560+55440+110563.75</f>
        <v>299598.75</v>
      </c>
      <c r="D12" s="2">
        <f>157450.2+135675.16+57955.02+149075.07+104440.66</f>
        <v>604596.11</v>
      </c>
      <c r="E12" s="2">
        <v>0</v>
      </c>
      <c r="F12" s="35">
        <f>5000+4763.95</f>
        <v>9763.95</v>
      </c>
      <c r="G12" s="78">
        <v>0</v>
      </c>
      <c r="H12" s="77">
        <v>0</v>
      </c>
      <c r="I12" s="76">
        <f>SUM(B12:H12)</f>
        <v>963698.4099999999</v>
      </c>
      <c r="J12" s="40">
        <v>56218.58</v>
      </c>
      <c r="K12" s="21">
        <f>I12/J12</f>
        <v>17.141991313192186</v>
      </c>
      <c r="L12" s="27"/>
      <c r="M12" s="83">
        <f>I12/I39</f>
        <v>0.04318989689007078</v>
      </c>
    </row>
    <row r="13" spans="1:16" ht="18.75">
      <c r="A13" s="5" t="s">
        <v>7</v>
      </c>
      <c r="B13" s="49">
        <f>7264.6+6752.2+10409.1+7194.9+12387.9+11973.9</f>
        <v>55982.600000000006</v>
      </c>
      <c r="C13" s="38">
        <f>44660+79695+74566.25+45254+62738.5+77137.5</f>
        <v>384051.25</v>
      </c>
      <c r="D13" s="2">
        <f>120265.06+208370.36+132231.91+48519.86+150367.25+114619.87</f>
        <v>774374.3099999999</v>
      </c>
      <c r="E13" s="2">
        <v>0</v>
      </c>
      <c r="F13" s="2">
        <f>1436.5+199.66+2842+7881.37+2351.91+8962.29+6831.65</f>
        <v>30505.379999999997</v>
      </c>
      <c r="G13" s="78">
        <v>0</v>
      </c>
      <c r="H13" s="77">
        <v>0</v>
      </c>
      <c r="I13" s="3">
        <f>SUM(B13:H13)</f>
        <v>1244913.5399999998</v>
      </c>
      <c r="J13" s="12">
        <v>113059.85</v>
      </c>
      <c r="K13" s="26">
        <f>I13/J13</f>
        <v>11.011101995978233</v>
      </c>
      <c r="L13" s="27"/>
      <c r="M13" s="83">
        <f>I13/I39</f>
        <v>0.05579306437752969</v>
      </c>
      <c r="P13" s="1"/>
    </row>
    <row r="14" spans="1:16" ht="18.75">
      <c r="A14" s="5" t="s">
        <v>10</v>
      </c>
      <c r="B14" s="49">
        <f>7345.15</f>
        <v>7345.15</v>
      </c>
      <c r="C14" s="38">
        <v>38115</v>
      </c>
      <c r="D14" s="2">
        <f>108205.1</f>
        <v>108205.1</v>
      </c>
      <c r="E14" s="2">
        <f>11303.19+5852.77+730.08</f>
        <v>17886.04</v>
      </c>
      <c r="F14" s="2">
        <v>0</v>
      </c>
      <c r="G14" s="78">
        <v>0</v>
      </c>
      <c r="H14" s="77">
        <v>0</v>
      </c>
      <c r="I14" s="3">
        <f>SUM(B14:H14)</f>
        <v>171551.29</v>
      </c>
      <c r="J14" s="12">
        <v>10078.76</v>
      </c>
      <c r="K14" s="20">
        <f>I14/J14</f>
        <v>17.021071044453883</v>
      </c>
      <c r="L14" s="27"/>
      <c r="M14" s="83">
        <f>I14/I39</f>
        <v>0.0076883830559174955</v>
      </c>
      <c r="P14" s="34"/>
    </row>
    <row r="15" spans="1:13" ht="18.75">
      <c r="A15" s="5" t="s">
        <v>12</v>
      </c>
      <c r="B15" s="49">
        <v>0</v>
      </c>
      <c r="C15" s="38">
        <v>0</v>
      </c>
      <c r="D15" s="2">
        <v>0</v>
      </c>
      <c r="E15" s="2">
        <v>0</v>
      </c>
      <c r="F15" s="2">
        <v>0</v>
      </c>
      <c r="G15" s="78">
        <v>0</v>
      </c>
      <c r="H15" s="77">
        <v>0</v>
      </c>
      <c r="I15" s="3">
        <f aca="true" t="shared" si="0" ref="I15:I34">SUM(B15:F15)</f>
        <v>0</v>
      </c>
      <c r="J15" s="12">
        <v>0</v>
      </c>
      <c r="K15" s="18"/>
      <c r="L15" s="28"/>
      <c r="M15" s="83"/>
    </row>
    <row r="16" spans="1:13" ht="18.75">
      <c r="A16" s="5" t="s">
        <v>27</v>
      </c>
      <c r="B16" s="49">
        <v>0</v>
      </c>
      <c r="C16" s="38">
        <v>0</v>
      </c>
      <c r="D16" s="25">
        <v>0</v>
      </c>
      <c r="E16" s="25">
        <v>0</v>
      </c>
      <c r="F16" s="25">
        <v>0</v>
      </c>
      <c r="G16" s="78">
        <v>0</v>
      </c>
      <c r="H16" s="77">
        <v>0</v>
      </c>
      <c r="I16" s="3">
        <f t="shared" si="0"/>
        <v>0</v>
      </c>
      <c r="J16" s="22">
        <v>0</v>
      </c>
      <c r="K16" s="20"/>
      <c r="L16" s="28"/>
      <c r="M16" s="83"/>
    </row>
    <row r="17" spans="1:15" ht="18.75">
      <c r="A17" s="5" t="s">
        <v>60</v>
      </c>
      <c r="B17" s="49">
        <f>12000+4328.5+4328.5+4000+4545+5331.6+12281.4</f>
        <v>46815</v>
      </c>
      <c r="C17" s="38">
        <f>15015+12705+8855+34265+20570+20570+34454.75</f>
        <v>146434.75</v>
      </c>
      <c r="D17" s="26">
        <f>40228.72+33500+20435.02+37520.04+32830+30457.38+45436.84+47651</f>
        <v>288059</v>
      </c>
      <c r="E17" s="26">
        <v>0</v>
      </c>
      <c r="F17" s="26">
        <f>283.99+1436.5+2308.35+3137.78+3443.63+3611.44</f>
        <v>14221.69</v>
      </c>
      <c r="G17" s="78">
        <v>0</v>
      </c>
      <c r="H17" s="77">
        <v>0</v>
      </c>
      <c r="I17" s="3">
        <f>SUM(B17:H17)</f>
        <v>495530.44</v>
      </c>
      <c r="J17" s="22">
        <v>46366.97</v>
      </c>
      <c r="K17" s="20">
        <f>I17/J17</f>
        <v>10.687143024441752</v>
      </c>
      <c r="L17" s="28"/>
      <c r="M17" s="83">
        <f>I17/I39</f>
        <v>0.022208097873162837</v>
      </c>
      <c r="O17" s="1"/>
    </row>
    <row r="18" spans="1:13" ht="18.75">
      <c r="A18" s="5" t="s">
        <v>30</v>
      </c>
      <c r="B18" s="49">
        <v>0</v>
      </c>
      <c r="C18" s="38">
        <v>0</v>
      </c>
      <c r="D18" s="26">
        <v>0</v>
      </c>
      <c r="E18" s="26">
        <v>0</v>
      </c>
      <c r="F18" s="26">
        <v>0</v>
      </c>
      <c r="G18" s="78">
        <v>0</v>
      </c>
      <c r="H18" s="77">
        <v>0</v>
      </c>
      <c r="I18" s="3">
        <f>SUM(B18:F18)</f>
        <v>0</v>
      </c>
      <c r="J18" s="22">
        <v>0</v>
      </c>
      <c r="K18" s="20"/>
      <c r="L18" s="28"/>
      <c r="M18" s="83"/>
    </row>
    <row r="19" spans="1:13" ht="18.75">
      <c r="A19" s="5" t="s">
        <v>31</v>
      </c>
      <c r="B19" s="49">
        <v>0</v>
      </c>
      <c r="C19" s="38">
        <v>0</v>
      </c>
      <c r="D19" s="26">
        <v>0</v>
      </c>
      <c r="E19" s="26">
        <v>0</v>
      </c>
      <c r="F19" s="26">
        <v>0</v>
      </c>
      <c r="G19" s="78">
        <v>0</v>
      </c>
      <c r="H19" s="77">
        <v>0</v>
      </c>
      <c r="I19" s="3">
        <f>SUM(B19:F19)</f>
        <v>0</v>
      </c>
      <c r="J19" s="22">
        <v>0</v>
      </c>
      <c r="K19" s="20"/>
      <c r="L19" s="28"/>
      <c r="M19" s="83"/>
    </row>
    <row r="20" spans="1:13" ht="18.75">
      <c r="A20" s="5" t="s">
        <v>68</v>
      </c>
      <c r="B20" s="78">
        <f>18886.8</f>
        <v>18886.8</v>
      </c>
      <c r="C20" s="80">
        <f>23141.25</f>
        <v>23141.25</v>
      </c>
      <c r="D20" s="78">
        <f>42269.07</f>
        <v>42269.07</v>
      </c>
      <c r="E20" s="78">
        <f>19360+12317.06+33446.49+24639.51</f>
        <v>89763.06</v>
      </c>
      <c r="F20" s="78"/>
      <c r="G20" s="78"/>
      <c r="H20" s="78"/>
      <c r="I20" s="3">
        <f>SUM(B20:H20)</f>
        <v>174060.18</v>
      </c>
      <c r="J20" s="40">
        <v>9899.08</v>
      </c>
      <c r="K20" s="20">
        <f>I20/J20</f>
        <v>17.58347038310631</v>
      </c>
      <c r="L20" s="28"/>
      <c r="M20" s="83"/>
    </row>
    <row r="21" spans="1:13" ht="18.75">
      <c r="A21" s="5" t="s">
        <v>32</v>
      </c>
      <c r="B21" s="49">
        <v>0</v>
      </c>
      <c r="C21" s="38">
        <v>0</v>
      </c>
      <c r="D21" s="26">
        <v>0</v>
      </c>
      <c r="E21" s="26">
        <v>0</v>
      </c>
      <c r="F21" s="26">
        <v>0</v>
      </c>
      <c r="G21" s="78">
        <v>0</v>
      </c>
      <c r="H21" s="77">
        <v>0</v>
      </c>
      <c r="I21" s="3">
        <f t="shared" si="0"/>
        <v>0</v>
      </c>
      <c r="J21" s="22">
        <v>0</v>
      </c>
      <c r="K21" s="20"/>
      <c r="L21" s="28"/>
      <c r="M21" s="83"/>
    </row>
    <row r="22" spans="1:13" ht="18.75">
      <c r="A22" s="5" t="s">
        <v>28</v>
      </c>
      <c r="B22" s="49">
        <v>0</v>
      </c>
      <c r="C22" s="38">
        <v>0</v>
      </c>
      <c r="D22" s="26">
        <v>0</v>
      </c>
      <c r="E22" s="26">
        <v>0</v>
      </c>
      <c r="F22" s="26">
        <v>0</v>
      </c>
      <c r="G22" s="78">
        <v>0</v>
      </c>
      <c r="H22" s="77">
        <v>0</v>
      </c>
      <c r="I22" s="3">
        <f t="shared" si="0"/>
        <v>0</v>
      </c>
      <c r="J22" s="22">
        <v>0</v>
      </c>
      <c r="K22" s="20"/>
      <c r="L22" s="28"/>
      <c r="M22" s="83"/>
    </row>
    <row r="23" spans="1:13" ht="18.75">
      <c r="A23" s="63" t="s">
        <v>35</v>
      </c>
      <c r="B23" s="49">
        <f>6812.35+6022.45</f>
        <v>12834.8</v>
      </c>
      <c r="C23" s="38">
        <f>62755+46585</f>
        <v>109340</v>
      </c>
      <c r="D23" s="36">
        <f>121675.21+123280.12+4790+4790+33530+9580+19160+4790+9580+10378.3+23950+10378.3+19160+28740+14370</f>
        <v>438151.93</v>
      </c>
      <c r="E23" s="36">
        <f>12241.54+10661.82+7596.38+18311.84+24498.6+7962.9+22920.88+23300.16+24669.36+32195.66+27047.14+10791.62+7596.38+18311.84+24498.6+7962.9+22920.88+23300.16+24669.36+32195.66+27047.14+12241.54+12241.54+10791.62+32195.66+23300.16+24498.6+18311.84+13523.57+11460.44+4894.4+9487.56+39501.78+95957.74+21749.45+60658.19+19766.23+32086.97+19684.75+5447.78+833.31+13175.45+33057.49+10902.3</f>
        <v>936469.1899999997</v>
      </c>
      <c r="F23" s="36">
        <f>511.76+365.43+62</f>
        <v>939.19</v>
      </c>
      <c r="G23" s="78">
        <v>0</v>
      </c>
      <c r="H23" s="77">
        <v>0</v>
      </c>
      <c r="I23" s="3">
        <f>SUM(B23:H23)</f>
        <v>1497735.1099999996</v>
      </c>
      <c r="J23" s="22">
        <v>34677.164</v>
      </c>
      <c r="K23" s="20">
        <f>I23/J23</f>
        <v>43.19081889164869</v>
      </c>
      <c r="L23" s="28"/>
      <c r="M23" s="84">
        <f>I23/I39</f>
        <v>0.06712372283517497</v>
      </c>
    </row>
    <row r="24" spans="1:13" ht="18.75">
      <c r="A24" s="5" t="s">
        <v>58</v>
      </c>
      <c r="B24" s="49">
        <v>0</v>
      </c>
      <c r="C24" s="38">
        <v>0</v>
      </c>
      <c r="D24" s="49">
        <f>44890.04+13400+13400+6700</f>
        <v>78390.04000000001</v>
      </c>
      <c r="E24" s="49">
        <f>3456.64+3784.7+1450.44+1859.39+1698.82</f>
        <v>12249.99</v>
      </c>
      <c r="F24" s="49">
        <f>210</f>
        <v>210</v>
      </c>
      <c r="G24" s="78">
        <v>0</v>
      </c>
      <c r="H24" s="77">
        <v>0</v>
      </c>
      <c r="I24" s="3">
        <f>SUM(B24:H24)</f>
        <v>90850.03000000001</v>
      </c>
      <c r="J24" s="40">
        <v>0</v>
      </c>
      <c r="K24" s="20"/>
      <c r="L24" s="28"/>
      <c r="M24" s="83">
        <f>I24/I39</f>
        <v>0.004071609320347263</v>
      </c>
    </row>
    <row r="25" spans="1:13" ht="18.75">
      <c r="A25" s="5" t="s">
        <v>34</v>
      </c>
      <c r="B25" s="49">
        <v>0</v>
      </c>
      <c r="C25" s="38">
        <v>0</v>
      </c>
      <c r="D25" s="2">
        <v>0</v>
      </c>
      <c r="E25" s="2">
        <v>0</v>
      </c>
      <c r="F25" s="2">
        <v>0</v>
      </c>
      <c r="G25" s="78">
        <v>0</v>
      </c>
      <c r="H25" s="77">
        <v>0</v>
      </c>
      <c r="I25" s="3">
        <f t="shared" si="0"/>
        <v>0</v>
      </c>
      <c r="J25" s="12">
        <v>0</v>
      </c>
      <c r="K25" s="18"/>
      <c r="L25" s="27"/>
      <c r="M25" s="83"/>
    </row>
    <row r="26" spans="1:14" ht="18.75">
      <c r="A26" s="5" t="s">
        <v>8</v>
      </c>
      <c r="B26" s="49">
        <f>16875+4000+4602.9+3795+4602.9</f>
        <v>33875.8</v>
      </c>
      <c r="C26" s="38">
        <f>20020+38568.75+10285</f>
        <v>68873.75</v>
      </c>
      <c r="D26" s="2">
        <f>40200+42252.6+14177.28</f>
        <v>96629.88</v>
      </c>
      <c r="E26" s="2">
        <v>0</v>
      </c>
      <c r="F26" s="2">
        <f>171.55+443.73</f>
        <v>615.28</v>
      </c>
      <c r="G26" s="78">
        <v>0</v>
      </c>
      <c r="H26" s="77">
        <v>0</v>
      </c>
      <c r="I26" s="3">
        <f>SUM(B26:H26)</f>
        <v>199994.71</v>
      </c>
      <c r="J26" s="40">
        <v>3307.94</v>
      </c>
      <c r="K26" s="18">
        <f>I26/J26</f>
        <v>60.458989582640555</v>
      </c>
      <c r="L26" s="29">
        <v>3851</v>
      </c>
      <c r="M26" s="83">
        <f>I26/I39</f>
        <v>0.008963126652309831</v>
      </c>
      <c r="N26" s="24"/>
    </row>
    <row r="27" spans="1:14" ht="18.75">
      <c r="A27" s="5" t="s">
        <v>9</v>
      </c>
      <c r="B27" s="49">
        <v>0</v>
      </c>
      <c r="C27" s="38">
        <v>0</v>
      </c>
      <c r="D27" s="2">
        <v>0</v>
      </c>
      <c r="E27" s="15">
        <v>0</v>
      </c>
      <c r="F27" s="2">
        <v>0</v>
      </c>
      <c r="G27" s="78">
        <v>0</v>
      </c>
      <c r="H27" s="77">
        <v>0</v>
      </c>
      <c r="I27" s="3">
        <f>SUM(B27:F27)</f>
        <v>0</v>
      </c>
      <c r="J27" s="12">
        <v>0</v>
      </c>
      <c r="K27" s="20"/>
      <c r="L27" s="28"/>
      <c r="M27" s="83"/>
      <c r="N27" s="24"/>
    </row>
    <row r="28" spans="1:14" ht="18.75">
      <c r="A28" s="5" t="s">
        <v>20</v>
      </c>
      <c r="B28" s="49">
        <v>0</v>
      </c>
      <c r="C28" s="38">
        <v>0</v>
      </c>
      <c r="D28" s="2">
        <v>0</v>
      </c>
      <c r="E28" s="2">
        <v>0</v>
      </c>
      <c r="F28" s="2">
        <v>0</v>
      </c>
      <c r="G28" s="78">
        <v>0</v>
      </c>
      <c r="H28" s="77">
        <v>0</v>
      </c>
      <c r="I28" s="3">
        <f>SUM(B28:F28)</f>
        <v>0</v>
      </c>
      <c r="J28" s="12">
        <v>0</v>
      </c>
      <c r="K28" s="21"/>
      <c r="L28" s="33"/>
      <c r="M28" s="83"/>
      <c r="N28" s="24"/>
    </row>
    <row r="29" spans="1:13" ht="18.75">
      <c r="A29" s="5" t="s">
        <v>11</v>
      </c>
      <c r="B29" s="49">
        <v>0</v>
      </c>
      <c r="C29" s="38">
        <v>0</v>
      </c>
      <c r="D29" s="23">
        <v>0</v>
      </c>
      <c r="E29" s="2">
        <v>0</v>
      </c>
      <c r="F29" s="2">
        <v>0</v>
      </c>
      <c r="G29" s="78">
        <v>0</v>
      </c>
      <c r="H29" s="77">
        <v>0</v>
      </c>
      <c r="I29" s="3">
        <f t="shared" si="0"/>
        <v>0</v>
      </c>
      <c r="J29" s="12">
        <v>0</v>
      </c>
      <c r="K29" s="18"/>
      <c r="L29" s="28"/>
      <c r="M29" s="83"/>
    </row>
    <row r="30" spans="1:13" ht="18.75">
      <c r="A30" s="5" t="s">
        <v>33</v>
      </c>
      <c r="B30" s="49">
        <v>0</v>
      </c>
      <c r="C30" s="38">
        <v>0</v>
      </c>
      <c r="D30" s="2">
        <v>0</v>
      </c>
      <c r="E30" s="2">
        <v>0</v>
      </c>
      <c r="F30" s="2">
        <v>0</v>
      </c>
      <c r="G30" s="78">
        <v>0</v>
      </c>
      <c r="H30" s="77">
        <v>0</v>
      </c>
      <c r="I30" s="3">
        <f t="shared" si="0"/>
        <v>0</v>
      </c>
      <c r="J30" s="12">
        <v>0</v>
      </c>
      <c r="K30" s="18"/>
      <c r="L30" s="27"/>
      <c r="M30" s="83"/>
    </row>
    <row r="31" spans="1:13" ht="18.75">
      <c r="A31" s="5" t="s">
        <v>26</v>
      </c>
      <c r="B31" s="49">
        <v>0</v>
      </c>
      <c r="C31" s="38">
        <v>0</v>
      </c>
      <c r="D31" s="19">
        <v>0</v>
      </c>
      <c r="E31" s="25">
        <v>0</v>
      </c>
      <c r="F31" s="25">
        <v>0</v>
      </c>
      <c r="G31" s="78">
        <v>0</v>
      </c>
      <c r="H31" s="77">
        <v>0</v>
      </c>
      <c r="I31" s="3">
        <f t="shared" si="0"/>
        <v>0</v>
      </c>
      <c r="J31" s="19">
        <v>0</v>
      </c>
      <c r="K31" s="17"/>
      <c r="L31" s="27"/>
      <c r="M31" s="83"/>
    </row>
    <row r="32" spans="1:13" ht="18.75">
      <c r="A32" s="4" t="s">
        <v>29</v>
      </c>
      <c r="B32" s="49">
        <v>0</v>
      </c>
      <c r="C32" s="38">
        <v>0</v>
      </c>
      <c r="D32" s="19">
        <v>0</v>
      </c>
      <c r="E32" s="19">
        <v>0</v>
      </c>
      <c r="F32" s="19">
        <v>0</v>
      </c>
      <c r="G32" s="78">
        <v>0</v>
      </c>
      <c r="H32" s="77">
        <f>135034.07+4744.2+6826.33+3450+9664.93+10331.18+5055.86+5129.79+21768.64+19029.16</f>
        <v>221034.16</v>
      </c>
      <c r="I32" s="3">
        <f>SUM(B32:H32)</f>
        <v>221034.16</v>
      </c>
      <c r="J32" s="19">
        <v>0</v>
      </c>
      <c r="K32" s="17"/>
      <c r="L32" s="28"/>
      <c r="M32" s="83">
        <v>0.0181</v>
      </c>
    </row>
    <row r="33" spans="1:15" ht="18.75">
      <c r="A33" s="62" t="s">
        <v>21</v>
      </c>
      <c r="B33" s="49">
        <f>723003.08+639473.54+596236.25+17375+723907.7+9899.28+15392.08+687886.28+655925.68+662618.36+11699.21+12834.27+1102339.23+15941.04+53604.38+34856.85+990485.88+887667.93+6955.18+913918.44+7769.88+3283.65+316.26+1178688.49</f>
        <v>9952077.94</v>
      </c>
      <c r="C33" s="38">
        <v>0</v>
      </c>
      <c r="D33" s="2">
        <v>0</v>
      </c>
      <c r="E33" s="2">
        <v>0</v>
      </c>
      <c r="F33" s="2">
        <v>0</v>
      </c>
      <c r="G33" s="78">
        <v>0</v>
      </c>
      <c r="H33" s="77">
        <v>0</v>
      </c>
      <c r="I33" s="3">
        <f>SUM(B33:H33)</f>
        <v>9952077.94</v>
      </c>
      <c r="J33" s="49">
        <v>0</v>
      </c>
      <c r="K33" s="17"/>
      <c r="L33" s="27"/>
      <c r="M33" s="84">
        <f>I33/I39</f>
        <v>0.4460204723908884</v>
      </c>
      <c r="N33" s="1"/>
      <c r="O33" s="1"/>
    </row>
    <row r="34" spans="1:13" ht="18.75">
      <c r="A34" s="5" t="s">
        <v>14</v>
      </c>
      <c r="B34" s="77">
        <f>56472.39</f>
        <v>56472.39</v>
      </c>
      <c r="C34" s="38">
        <v>0</v>
      </c>
      <c r="D34" s="2">
        <v>0</v>
      </c>
      <c r="E34" s="2">
        <v>0</v>
      </c>
      <c r="F34" s="2">
        <v>0</v>
      </c>
      <c r="G34" s="78">
        <v>0</v>
      </c>
      <c r="H34" s="77">
        <v>0</v>
      </c>
      <c r="I34" s="3">
        <f t="shared" si="0"/>
        <v>56472.39</v>
      </c>
      <c r="J34" s="49">
        <v>0</v>
      </c>
      <c r="K34" s="17"/>
      <c r="L34" s="28"/>
      <c r="M34" s="83"/>
    </row>
    <row r="35" spans="1:18" ht="18.75">
      <c r="A35" s="5" t="s">
        <v>69</v>
      </c>
      <c r="B35" s="78">
        <f>6525</f>
        <v>6525</v>
      </c>
      <c r="C35" s="80">
        <f>7038.24</f>
        <v>7038.24</v>
      </c>
      <c r="D35" s="78">
        <f>600</f>
        <v>600</v>
      </c>
      <c r="E35" s="78">
        <v>0</v>
      </c>
      <c r="F35" s="78">
        <v>0</v>
      </c>
      <c r="G35" s="78">
        <v>0</v>
      </c>
      <c r="H35" s="78">
        <v>0</v>
      </c>
      <c r="I35" s="3">
        <f>SUM(B35:H35)</f>
        <v>14163.24</v>
      </c>
      <c r="J35" s="49">
        <v>0</v>
      </c>
      <c r="K35" s="17"/>
      <c r="L35" s="27"/>
      <c r="M35" s="83"/>
      <c r="R35" s="1"/>
    </row>
    <row r="36" spans="1:16" ht="18.75">
      <c r="A36" s="5" t="s">
        <v>15</v>
      </c>
      <c r="B36" s="49">
        <f>16878.55+17000+21200+18500+24500+19700+4191+2175+9016.26+5723.66</f>
        <v>138884.47</v>
      </c>
      <c r="C36" s="38">
        <f>43733.99+33439.83+52252.43+42832.41+46950.16+43657+55634.01+48065.46+44751.36+54098.61+67771.43</f>
        <v>533186.69</v>
      </c>
      <c r="D36" s="2">
        <f>44100+39600+57500+48600+52200+49950+76094.99+72641.57+71728.87+63080.64+89414.49</f>
        <v>664910.5599999999</v>
      </c>
      <c r="E36" s="3">
        <f>162.72+953.98-450+161.7+2009.68+755.57+422.37+219.92+11851.32+1870.36+10681.18+8251.88+11771.6</f>
        <v>48662.28</v>
      </c>
      <c r="F36" s="3">
        <f>165+12762.13+2953.76+165+8565.2+143.44+1155.4+368.32+1608.05+112.44+1404.93+658.46+390+20903.74-1310.4-649.42+180+18943.44+225+10480.83+495+16474.19+224411.48-159719.53+434.7+19364.28+1100.37+33741.93-22000-1837.25+332.9+20000+269.1+18038.35+455.4+22303.47-5965.61</f>
        <v>247124.1</v>
      </c>
      <c r="G36" s="3">
        <v>0</v>
      </c>
      <c r="H36" s="3">
        <v>0</v>
      </c>
      <c r="I36" s="3">
        <f>SUM(B36:F36)</f>
        <v>1632768.0999999999</v>
      </c>
      <c r="J36" s="8">
        <f>301.033+3048.185+317.836+50.362</f>
        <v>3717.416</v>
      </c>
      <c r="K36" s="17">
        <f>I36/J36</f>
        <v>439.22124938398065</v>
      </c>
      <c r="L36" s="27"/>
      <c r="M36" s="83">
        <f>I36/I39</f>
        <v>0.07317547186198717</v>
      </c>
      <c r="P36" s="31"/>
    </row>
    <row r="37" spans="1:17" ht="18.75">
      <c r="A37" s="5" t="s">
        <v>66</v>
      </c>
      <c r="B37" s="49">
        <v>0</v>
      </c>
      <c r="C37" s="38">
        <v>0</v>
      </c>
      <c r="D37" s="2">
        <v>0</v>
      </c>
      <c r="E37" s="2">
        <v>0</v>
      </c>
      <c r="F37" s="2">
        <v>0</v>
      </c>
      <c r="G37" s="78">
        <f>202500+22500</f>
        <v>225000</v>
      </c>
      <c r="H37" s="77">
        <v>0</v>
      </c>
      <c r="I37" s="3">
        <f>SUM(B37:H37)</f>
        <v>225000</v>
      </c>
      <c r="J37" s="49">
        <v>0</v>
      </c>
      <c r="K37" s="49"/>
      <c r="L37" s="28"/>
      <c r="M37" s="83">
        <f>I37/I39</f>
        <v>0.01008378419994065</v>
      </c>
      <c r="P37" s="31"/>
      <c r="Q37" t="s">
        <v>16</v>
      </c>
    </row>
    <row r="38" spans="1:17" ht="18.75">
      <c r="A38" s="37" t="s">
        <v>61</v>
      </c>
      <c r="B38" s="79">
        <v>0</v>
      </c>
      <c r="C38" s="81">
        <v>0</v>
      </c>
      <c r="D38" s="79">
        <v>0</v>
      </c>
      <c r="E38" s="79">
        <v>0</v>
      </c>
      <c r="F38" s="39">
        <f>6237.51+514.14+661.6</f>
        <v>7413.250000000001</v>
      </c>
      <c r="G38" s="78">
        <v>0</v>
      </c>
      <c r="H38" s="77">
        <v>0</v>
      </c>
      <c r="I38" s="3">
        <f>SUM(B38:H38)</f>
        <v>7413.250000000001</v>
      </c>
      <c r="J38" s="50">
        <v>0</v>
      </c>
      <c r="K38" s="49"/>
      <c r="L38" s="27"/>
      <c r="M38" s="83">
        <v>0.0006</v>
      </c>
      <c r="P38" s="72"/>
      <c r="Q38" s="1"/>
    </row>
    <row r="39" spans="1:16" ht="18.75">
      <c r="A39" s="57" t="s">
        <v>13</v>
      </c>
      <c r="B39" s="65">
        <f aca="true" t="shared" si="1" ref="B39:H39">SUM(B10:B38)</f>
        <v>10745464.370000001</v>
      </c>
      <c r="C39" s="66">
        <f t="shared" si="1"/>
        <v>2567183.9299999997</v>
      </c>
      <c r="D39" s="65">
        <f t="shared" si="1"/>
        <v>5048806.52</v>
      </c>
      <c r="E39" s="64">
        <f t="shared" si="1"/>
        <v>2990084.2799999993</v>
      </c>
      <c r="F39" s="64">
        <f t="shared" si="1"/>
        <v>515478.62</v>
      </c>
      <c r="G39" s="64"/>
      <c r="H39" s="64">
        <f t="shared" si="1"/>
        <v>221034.16</v>
      </c>
      <c r="I39" s="67">
        <f>SUM(I10:I38)</f>
        <v>22313051.88</v>
      </c>
      <c r="J39" s="59">
        <f>SUM(J10:J38)</f>
        <v>705379.5599999999</v>
      </c>
      <c r="K39" s="61"/>
      <c r="L39" s="61"/>
      <c r="M39" s="85">
        <f>SUM(M10:M38)</f>
        <v>0.9917644000098116</v>
      </c>
      <c r="P39" s="31"/>
    </row>
    <row r="40" spans="1:16" ht="15">
      <c r="A40" s="86" t="s">
        <v>24</v>
      </c>
      <c r="B40" s="86"/>
      <c r="C40" s="55"/>
      <c r="D40" s="55"/>
      <c r="E40" s="55"/>
      <c r="F40" s="55"/>
      <c r="G40" s="55"/>
      <c r="H40" s="55"/>
      <c r="I40" s="56"/>
      <c r="J40" s="56"/>
      <c r="K40" s="55"/>
      <c r="L40" s="55"/>
      <c r="M40" s="55"/>
      <c r="O40" s="1"/>
      <c r="P40" s="31"/>
    </row>
    <row r="41" spans="1:16" ht="15">
      <c r="A41" s="90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1"/>
      <c r="O41" s="1"/>
      <c r="P41" s="32"/>
    </row>
    <row r="42" spans="1:13" ht="15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spans="1:13" ht="15">
      <c r="A43" s="73"/>
      <c r="B43" s="74"/>
      <c r="C43" s="74"/>
      <c r="D43" s="74"/>
      <c r="E43" s="74"/>
      <c r="F43" s="74"/>
      <c r="G43" s="74"/>
      <c r="H43" s="74"/>
      <c r="I43" s="74"/>
      <c r="J43" s="75"/>
      <c r="K43" s="73"/>
      <c r="L43" s="73"/>
      <c r="M43" s="73"/>
    </row>
    <row r="44" spans="1:13" ht="15">
      <c r="A44" s="55"/>
      <c r="B44" s="52"/>
      <c r="C44" s="52"/>
      <c r="D44" s="52"/>
      <c r="E44" s="52"/>
      <c r="F44" s="52"/>
      <c r="G44" s="52"/>
      <c r="H44" s="52"/>
      <c r="I44" s="52"/>
      <c r="J44" s="58"/>
      <c r="K44" s="55"/>
      <c r="L44" s="55"/>
      <c r="M44" s="55"/>
    </row>
    <row r="45" spans="1:13" ht="15">
      <c r="A45" s="89" t="s">
        <v>19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  <row r="46" spans="1:13" ht="1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50" ht="15">
      <c r="A50" s="1"/>
    </row>
    <row r="58" ht="15">
      <c r="C58" s="9"/>
    </row>
    <row r="60" ht="15">
      <c r="C60" s="10" t="s">
        <v>16</v>
      </c>
    </row>
    <row r="69" spans="2:3" ht="15">
      <c r="B69" s="55"/>
      <c r="C69" s="55"/>
    </row>
    <row r="70" spans="2:3" ht="15">
      <c r="B70" s="55"/>
      <c r="C70" s="55"/>
    </row>
    <row r="71" spans="2:3" ht="15">
      <c r="B71" s="55"/>
      <c r="C71" s="55"/>
    </row>
    <row r="72" spans="2:3" ht="15">
      <c r="B72" s="55"/>
      <c r="C72" s="55"/>
    </row>
    <row r="73" spans="2:3" ht="15">
      <c r="B73" s="55"/>
      <c r="C73" s="55"/>
    </row>
    <row r="74" spans="2:3" ht="15">
      <c r="B74" s="55"/>
      <c r="C74" s="55"/>
    </row>
    <row r="75" spans="2:3" ht="15">
      <c r="B75" s="55"/>
      <c r="C75" s="55"/>
    </row>
    <row r="76" spans="2:3" ht="15">
      <c r="B76" s="55"/>
      <c r="C76" s="55"/>
    </row>
    <row r="77" spans="2:3" ht="15">
      <c r="B77" s="55"/>
      <c r="C77" s="55"/>
    </row>
    <row r="78" spans="2:3" ht="15">
      <c r="B78" s="55"/>
      <c r="C78" s="55"/>
    </row>
    <row r="79" spans="2:3" ht="15">
      <c r="B79" s="55"/>
      <c r="C79" s="55"/>
    </row>
    <row r="80" spans="2:3" ht="15">
      <c r="B80" s="55"/>
      <c r="C80" s="55"/>
    </row>
    <row r="81" spans="2:3" ht="15">
      <c r="B81" s="55"/>
      <c r="C81" s="55"/>
    </row>
    <row r="82" spans="2:3" ht="15">
      <c r="B82" s="55"/>
      <c r="C82" s="55"/>
    </row>
    <row r="83" spans="2:3" ht="15">
      <c r="B83" s="55"/>
      <c r="C83" s="55"/>
    </row>
    <row r="84" spans="2:3" ht="15">
      <c r="B84" s="55"/>
      <c r="C84" s="55"/>
    </row>
    <row r="85" spans="2:3" ht="15">
      <c r="B85" s="55"/>
      <c r="C85" s="55"/>
    </row>
    <row r="86" spans="2:3" ht="15">
      <c r="B86" s="55"/>
      <c r="C86" s="55"/>
    </row>
    <row r="87" spans="2:3" ht="15">
      <c r="B87" s="55"/>
      <c r="C87" s="55"/>
    </row>
    <row r="88" spans="2:3" ht="15">
      <c r="B88" s="55"/>
      <c r="C88" s="55"/>
    </row>
    <row r="89" spans="2:3" ht="15">
      <c r="B89" s="55"/>
      <c r="C89" s="55"/>
    </row>
    <row r="90" spans="2:3" ht="15">
      <c r="B90" s="55"/>
      <c r="C90" s="55"/>
    </row>
    <row r="91" spans="2:3" ht="15">
      <c r="B91" s="55"/>
      <c r="C91" s="55"/>
    </row>
    <row r="92" spans="2:3" ht="15">
      <c r="B92" s="55"/>
      <c r="C92" s="55"/>
    </row>
    <row r="93" spans="2:3" ht="15">
      <c r="B93" s="55"/>
      <c r="C93" s="55"/>
    </row>
    <row r="94" spans="2:3" ht="15">
      <c r="B94" s="55"/>
      <c r="C94" s="55"/>
    </row>
    <row r="95" spans="2:3" ht="15">
      <c r="B95" s="55"/>
      <c r="C95" s="55"/>
    </row>
    <row r="96" spans="2:3" ht="15">
      <c r="B96" s="55"/>
      <c r="C96" s="55"/>
    </row>
    <row r="97" spans="2:3" ht="15">
      <c r="B97" s="55"/>
      <c r="C97" s="55"/>
    </row>
    <row r="98" spans="2:3" ht="15">
      <c r="B98" s="55"/>
      <c r="C98" s="55"/>
    </row>
    <row r="99" spans="2:3" ht="15">
      <c r="B99" s="55"/>
      <c r="C99" s="55"/>
    </row>
    <row r="100" spans="2:3" ht="15">
      <c r="B100" s="55"/>
      <c r="C100" s="55"/>
    </row>
    <row r="101" spans="2:3" ht="15">
      <c r="B101" s="55"/>
      <c r="C101" s="55"/>
    </row>
    <row r="102" spans="2:3" ht="15">
      <c r="B102" s="55"/>
      <c r="C102" s="55"/>
    </row>
    <row r="103" spans="2:3" ht="15">
      <c r="B103" s="55"/>
      <c r="C103" s="55"/>
    </row>
    <row r="104" spans="2:3" ht="15">
      <c r="B104" s="55"/>
      <c r="C104" s="55"/>
    </row>
    <row r="105" spans="2:3" ht="15">
      <c r="B105" s="55"/>
      <c r="C105" s="55"/>
    </row>
    <row r="106" spans="2:3" ht="15">
      <c r="B106" s="55"/>
      <c r="C106" s="55"/>
    </row>
    <row r="107" spans="2:3" ht="15">
      <c r="B107" s="55"/>
      <c r="C107" s="55"/>
    </row>
    <row r="108" spans="2:3" ht="15">
      <c r="B108" s="55"/>
      <c r="C108" s="55"/>
    </row>
    <row r="109" spans="2:3" ht="15">
      <c r="B109" s="55"/>
      <c r="C109" s="55"/>
    </row>
    <row r="110" spans="2:3" ht="15">
      <c r="B110" s="55"/>
      <c r="C110" s="55"/>
    </row>
    <row r="111" spans="2:3" ht="15">
      <c r="B111" s="55"/>
      <c r="C111" s="55"/>
    </row>
    <row r="112" spans="2:3" ht="15">
      <c r="B112" s="55"/>
      <c r="C112" s="55"/>
    </row>
    <row r="113" spans="2:3" ht="15">
      <c r="B113" s="55"/>
      <c r="C113" s="55"/>
    </row>
    <row r="114" spans="2:3" ht="15">
      <c r="B114" s="55"/>
      <c r="C114" s="55"/>
    </row>
    <row r="115" spans="2:3" ht="15">
      <c r="B115" s="55"/>
      <c r="C115" s="55"/>
    </row>
    <row r="116" spans="2:3" ht="15">
      <c r="B116" s="55"/>
      <c r="C116" s="55"/>
    </row>
    <row r="117" spans="2:3" ht="15">
      <c r="B117" s="55"/>
      <c r="C117" s="55"/>
    </row>
    <row r="118" spans="2:3" ht="15">
      <c r="B118" s="55"/>
      <c r="C118" s="55"/>
    </row>
    <row r="119" spans="2:3" ht="15">
      <c r="B119" s="55"/>
      <c r="C119" s="55"/>
    </row>
    <row r="120" spans="2:3" ht="15">
      <c r="B120" s="55"/>
      <c r="C120" s="55"/>
    </row>
    <row r="121" spans="2:3" ht="15">
      <c r="B121" s="55"/>
      <c r="C121" s="55"/>
    </row>
    <row r="122" spans="2:3" ht="15">
      <c r="B122" s="55"/>
      <c r="C122" s="55"/>
    </row>
    <row r="123" spans="2:3" ht="15">
      <c r="B123" s="55"/>
      <c r="C123" s="55"/>
    </row>
    <row r="124" spans="2:3" ht="15">
      <c r="B124" s="55"/>
      <c r="C124" s="55"/>
    </row>
    <row r="125" spans="2:3" ht="15">
      <c r="B125" s="55"/>
      <c r="C125" s="55"/>
    </row>
    <row r="126" spans="2:3" ht="15">
      <c r="B126" s="55"/>
      <c r="C126" s="55"/>
    </row>
    <row r="127" spans="2:3" ht="15">
      <c r="B127" s="55"/>
      <c r="C127" s="55"/>
    </row>
    <row r="128" spans="2:3" ht="15">
      <c r="B128" s="55"/>
      <c r="C128" s="55"/>
    </row>
    <row r="129" spans="2:3" ht="15">
      <c r="B129" s="55"/>
      <c r="C129" s="55"/>
    </row>
    <row r="130" spans="2:3" ht="15">
      <c r="B130" s="55"/>
      <c r="C130" s="55"/>
    </row>
    <row r="131" spans="2:3" ht="15">
      <c r="B131" s="55"/>
      <c r="C131" s="55"/>
    </row>
    <row r="132" spans="2:3" ht="15">
      <c r="B132" s="55"/>
      <c r="C132" s="55"/>
    </row>
    <row r="133" spans="2:3" ht="15">
      <c r="B133" s="55"/>
      <c r="C133" s="55"/>
    </row>
    <row r="134" spans="2:3" ht="15">
      <c r="B134" s="55"/>
      <c r="C134" s="55"/>
    </row>
    <row r="135" spans="2:3" ht="15">
      <c r="B135" s="55"/>
      <c r="C135" s="55"/>
    </row>
    <row r="136" spans="2:3" ht="15">
      <c r="B136" s="55"/>
      <c r="C136" s="55"/>
    </row>
    <row r="137" spans="2:3" ht="15">
      <c r="B137" s="55"/>
      <c r="C137" s="55"/>
    </row>
    <row r="138" spans="2:3" ht="15">
      <c r="B138" s="55"/>
      <c r="C138" s="55"/>
    </row>
    <row r="139" spans="2:3" ht="15">
      <c r="B139" s="55"/>
      <c r="C139" s="55"/>
    </row>
    <row r="140" spans="2:3" ht="15">
      <c r="B140" s="55"/>
      <c r="C140" s="55"/>
    </row>
    <row r="141" spans="2:3" ht="15">
      <c r="B141" s="55"/>
      <c r="C141" s="55"/>
    </row>
    <row r="142" spans="2:3" ht="15">
      <c r="B142" s="55"/>
      <c r="C142" s="55"/>
    </row>
    <row r="143" spans="2:3" ht="15">
      <c r="B143" s="55"/>
      <c r="C143" s="55"/>
    </row>
    <row r="144" spans="2:3" ht="15">
      <c r="B144" s="55"/>
      <c r="C144" s="55"/>
    </row>
    <row r="145" spans="2:3" ht="15">
      <c r="B145" s="55"/>
      <c r="C145" s="55"/>
    </row>
    <row r="146" spans="2:3" ht="15">
      <c r="B146" s="55"/>
      <c r="C146" s="55"/>
    </row>
    <row r="147" spans="2:3" ht="15">
      <c r="B147" s="55"/>
      <c r="C147" s="55"/>
    </row>
    <row r="148" spans="2:3" ht="15">
      <c r="B148" s="55"/>
      <c r="C148" s="55"/>
    </row>
    <row r="149" spans="2:3" ht="15">
      <c r="B149" s="55"/>
      <c r="C149" s="55"/>
    </row>
    <row r="150" spans="2:3" ht="15">
      <c r="B150" s="55"/>
      <c r="C150" s="55"/>
    </row>
    <row r="151" spans="2:3" ht="15">
      <c r="B151" s="55"/>
      <c r="C151" s="55"/>
    </row>
    <row r="152" spans="2:3" ht="15">
      <c r="B152" s="55"/>
      <c r="C152" s="55"/>
    </row>
    <row r="153" spans="2:3" ht="15">
      <c r="B153" s="55"/>
      <c r="C153" s="55"/>
    </row>
    <row r="154" spans="2:3" ht="15">
      <c r="B154" s="55"/>
      <c r="C154" s="55"/>
    </row>
    <row r="155" spans="2:3" ht="15">
      <c r="B155" s="55"/>
      <c r="C155" s="55"/>
    </row>
    <row r="156" spans="2:3" ht="15">
      <c r="B156" s="55"/>
      <c r="C156" s="55"/>
    </row>
    <row r="157" spans="2:3" ht="15">
      <c r="B157" s="55"/>
      <c r="C157" s="55"/>
    </row>
    <row r="158" spans="2:3" ht="15">
      <c r="B158" s="55"/>
      <c r="C158" s="55"/>
    </row>
    <row r="159" spans="2:3" ht="15">
      <c r="B159" s="55"/>
      <c r="C159" s="55"/>
    </row>
    <row r="160" spans="2:3" ht="15">
      <c r="B160" s="55"/>
      <c r="C160" s="55"/>
    </row>
    <row r="161" spans="2:3" ht="15">
      <c r="B161" s="55"/>
      <c r="C161" s="55"/>
    </row>
    <row r="162" spans="2:3" ht="15">
      <c r="B162" s="55"/>
      <c r="C162" s="55"/>
    </row>
    <row r="163" spans="2:3" ht="15">
      <c r="B163" s="55"/>
      <c r="C163" s="55"/>
    </row>
    <row r="164" spans="2:3" ht="15">
      <c r="B164" s="55"/>
      <c r="C164" s="55"/>
    </row>
    <row r="165" spans="2:3" ht="15">
      <c r="B165" s="55"/>
      <c r="C165" s="55"/>
    </row>
    <row r="166" spans="2:3" ht="15">
      <c r="B166" s="55"/>
      <c r="C166" s="55"/>
    </row>
    <row r="167" spans="2:3" ht="15">
      <c r="B167" s="55"/>
      <c r="C167" s="55"/>
    </row>
    <row r="168" spans="2:3" ht="15">
      <c r="B168" s="55"/>
      <c r="C168" s="55"/>
    </row>
    <row r="169" spans="2:3" ht="15">
      <c r="B169" s="55"/>
      <c r="C169" s="55"/>
    </row>
    <row r="170" spans="2:3" ht="15">
      <c r="B170" s="55"/>
      <c r="C170" s="55"/>
    </row>
    <row r="171" spans="2:3" ht="15">
      <c r="B171" s="55"/>
      <c r="C171" s="55"/>
    </row>
    <row r="172" spans="2:3" ht="15">
      <c r="B172" s="55"/>
      <c r="C172" s="55"/>
    </row>
    <row r="173" spans="2:3" ht="15">
      <c r="B173" s="55"/>
      <c r="C173" s="55"/>
    </row>
    <row r="174" spans="2:3" ht="15">
      <c r="B174" s="55"/>
      <c r="C174" s="55"/>
    </row>
    <row r="175" spans="2:3" ht="15">
      <c r="B175" s="55"/>
      <c r="C175" s="55"/>
    </row>
    <row r="176" spans="2:3" ht="15">
      <c r="B176" s="55"/>
      <c r="C176" s="55"/>
    </row>
    <row r="177" spans="2:3" ht="15">
      <c r="B177" s="55"/>
      <c r="C177" s="55"/>
    </row>
    <row r="178" spans="2:3" ht="15">
      <c r="B178" s="55"/>
      <c r="C178" s="55"/>
    </row>
    <row r="179" spans="2:3" ht="15">
      <c r="B179" s="55"/>
      <c r="C179" s="55"/>
    </row>
    <row r="180" spans="2:3" ht="15">
      <c r="B180" s="55"/>
      <c r="C180" s="55"/>
    </row>
    <row r="181" spans="2:3" ht="15">
      <c r="B181" s="55"/>
      <c r="C181" s="55"/>
    </row>
    <row r="182" spans="2:3" ht="15">
      <c r="B182" s="55"/>
      <c r="C182" s="55"/>
    </row>
    <row r="183" spans="2:3" ht="15">
      <c r="B183" s="55"/>
      <c r="C183" s="55"/>
    </row>
    <row r="184" spans="2:3" ht="15">
      <c r="B184" s="55"/>
      <c r="C184" s="55"/>
    </row>
    <row r="185" spans="2:3" ht="15">
      <c r="B185" s="55"/>
      <c r="C185" s="55"/>
    </row>
    <row r="186" spans="2:3" ht="15">
      <c r="B186" s="55"/>
      <c r="C186" s="55"/>
    </row>
    <row r="187" spans="2:3" ht="15">
      <c r="B187" s="55"/>
      <c r="C187" s="55"/>
    </row>
    <row r="188" spans="2:3" ht="15">
      <c r="B188" s="55"/>
      <c r="C188" s="55"/>
    </row>
    <row r="189" spans="2:3" ht="15">
      <c r="B189" s="55"/>
      <c r="C189" s="55"/>
    </row>
    <row r="190" spans="2:3" ht="15">
      <c r="B190" s="55"/>
      <c r="C190" s="55"/>
    </row>
    <row r="191" spans="2:3" ht="15">
      <c r="B191" s="55"/>
      <c r="C191" s="55"/>
    </row>
    <row r="192" spans="2:3" ht="15">
      <c r="B192" s="55"/>
      <c r="C192" s="55"/>
    </row>
    <row r="193" spans="2:3" ht="15">
      <c r="B193" s="55"/>
      <c r="C193" s="55"/>
    </row>
    <row r="194" spans="2:3" ht="15">
      <c r="B194" s="55"/>
      <c r="C194" s="55"/>
    </row>
    <row r="195" spans="2:3" ht="15">
      <c r="B195" s="55"/>
      <c r="C195" s="55"/>
    </row>
    <row r="196" spans="2:3" ht="15">
      <c r="B196" s="55"/>
      <c r="C196" s="55"/>
    </row>
    <row r="197" spans="2:3" ht="15">
      <c r="B197" s="55"/>
      <c r="C197" s="55"/>
    </row>
    <row r="198" spans="2:3" ht="15">
      <c r="B198" s="55"/>
      <c r="C198" s="55"/>
    </row>
    <row r="199" spans="2:3" ht="15">
      <c r="B199" s="55"/>
      <c r="C199" s="55"/>
    </row>
    <row r="200" spans="2:3" ht="15">
      <c r="B200" s="55"/>
      <c r="C200" s="55"/>
    </row>
    <row r="201" spans="2:3" ht="15">
      <c r="B201" s="55"/>
      <c r="C201" s="55"/>
    </row>
    <row r="202" spans="2:3" ht="15">
      <c r="B202" s="55"/>
      <c r="C202" s="55"/>
    </row>
    <row r="203" spans="2:3" ht="15">
      <c r="B203" s="55"/>
      <c r="C203" s="55"/>
    </row>
    <row r="204" spans="2:3" ht="15">
      <c r="B204" s="55"/>
      <c r="C204" s="55"/>
    </row>
    <row r="205" spans="2:3" ht="15">
      <c r="B205" s="55"/>
      <c r="C205" s="55"/>
    </row>
    <row r="206" spans="2:3" ht="15">
      <c r="B206" s="55"/>
      <c r="C206" s="55"/>
    </row>
    <row r="207" spans="2:3" ht="15">
      <c r="B207" s="55"/>
      <c r="C207" s="55"/>
    </row>
    <row r="208" spans="2:3" ht="15">
      <c r="B208" s="55"/>
      <c r="C208" s="55"/>
    </row>
    <row r="209" spans="2:3" ht="15">
      <c r="B209" s="55"/>
      <c r="C209" s="55"/>
    </row>
    <row r="210" spans="2:3" ht="15">
      <c r="B210" s="55"/>
      <c r="C210" s="55"/>
    </row>
    <row r="211" spans="2:3" ht="15">
      <c r="B211" s="55"/>
      <c r="C211" s="55"/>
    </row>
    <row r="212" spans="2:3" ht="15">
      <c r="B212" s="55"/>
      <c r="C212" s="55"/>
    </row>
    <row r="213" spans="2:3" ht="15">
      <c r="B213" s="55"/>
      <c r="C213" s="55"/>
    </row>
    <row r="214" spans="2:3" ht="15">
      <c r="B214" s="55"/>
      <c r="C214" s="55"/>
    </row>
    <row r="215" spans="2:3" ht="15">
      <c r="B215" s="55"/>
      <c r="C215" s="55"/>
    </row>
    <row r="216" spans="2:3" ht="15">
      <c r="B216" s="55"/>
      <c r="C216" s="55"/>
    </row>
    <row r="217" spans="2:3" ht="15">
      <c r="B217" s="55"/>
      <c r="C217" s="55"/>
    </row>
    <row r="218" spans="2:3" ht="15">
      <c r="B218" s="55"/>
      <c r="C218" s="55"/>
    </row>
    <row r="219" spans="2:3" ht="15">
      <c r="B219" s="55"/>
      <c r="C219" s="55"/>
    </row>
    <row r="220" spans="2:3" ht="15">
      <c r="B220" s="55"/>
      <c r="C220" s="55"/>
    </row>
    <row r="221" spans="2:3" ht="15">
      <c r="B221" s="55"/>
      <c r="C221" s="55"/>
    </row>
    <row r="222" spans="2:3" ht="15">
      <c r="B222" s="55"/>
      <c r="C222" s="55"/>
    </row>
    <row r="223" spans="2:3" ht="15">
      <c r="B223" s="55"/>
      <c r="C223" s="55"/>
    </row>
    <row r="224" spans="2:3" ht="15">
      <c r="B224" s="55"/>
      <c r="C224" s="55"/>
    </row>
    <row r="225" spans="2:3" ht="15">
      <c r="B225" s="55"/>
      <c r="C225" s="55"/>
    </row>
    <row r="226" spans="2:3" ht="15">
      <c r="B226" s="55"/>
      <c r="C226" s="55"/>
    </row>
    <row r="227" spans="2:3" ht="15">
      <c r="B227" s="55"/>
      <c r="C227" s="55"/>
    </row>
    <row r="228" spans="2:3" ht="15">
      <c r="B228" s="55"/>
      <c r="C228" s="55"/>
    </row>
    <row r="229" spans="2:3" ht="15">
      <c r="B229" s="55"/>
      <c r="C229" s="55"/>
    </row>
    <row r="230" spans="2:3" ht="15">
      <c r="B230" s="55"/>
      <c r="C230" s="55"/>
    </row>
    <row r="231" spans="2:3" ht="15">
      <c r="B231" s="55"/>
      <c r="C231" s="55"/>
    </row>
    <row r="232" spans="2:3" ht="15">
      <c r="B232" s="55"/>
      <c r="C232" s="55"/>
    </row>
    <row r="233" spans="2:3" ht="15">
      <c r="B233" s="55"/>
      <c r="C233" s="55"/>
    </row>
    <row r="234" spans="2:3" ht="15">
      <c r="B234" s="55"/>
      <c r="C234" s="55"/>
    </row>
    <row r="235" spans="2:3" ht="15">
      <c r="B235" s="55"/>
      <c r="C235" s="55"/>
    </row>
    <row r="236" spans="2:3" ht="15">
      <c r="B236" s="55"/>
      <c r="C236" s="55"/>
    </row>
    <row r="237" spans="2:3" ht="15">
      <c r="B237" s="55"/>
      <c r="C237" s="55"/>
    </row>
    <row r="238" spans="2:3" ht="15">
      <c r="B238" s="55"/>
      <c r="C238" s="55"/>
    </row>
    <row r="239" spans="2:3" ht="15">
      <c r="B239" s="55"/>
      <c r="C239" s="55"/>
    </row>
    <row r="240" spans="2:3" ht="15">
      <c r="B240" s="55"/>
      <c r="C240" s="55"/>
    </row>
    <row r="241" spans="2:3" ht="15">
      <c r="B241" s="55"/>
      <c r="C241" s="55"/>
    </row>
    <row r="242" spans="2:3" ht="15">
      <c r="B242" s="55"/>
      <c r="C242" s="55"/>
    </row>
    <row r="243" spans="2:3" ht="15">
      <c r="B243" s="55"/>
      <c r="C243" s="55"/>
    </row>
    <row r="244" spans="2:3" ht="15">
      <c r="B244" s="55"/>
      <c r="C244" s="55"/>
    </row>
    <row r="245" spans="2:3" ht="15">
      <c r="B245" s="55"/>
      <c r="C245" s="55"/>
    </row>
    <row r="246" spans="2:3" ht="15">
      <c r="B246" s="55"/>
      <c r="C246" s="55"/>
    </row>
    <row r="247" spans="2:3" ht="15">
      <c r="B247" s="55"/>
      <c r="C247" s="55"/>
    </row>
    <row r="248" spans="2:3" ht="15">
      <c r="B248" s="55"/>
      <c r="C248" s="55"/>
    </row>
    <row r="249" spans="2:3" ht="15">
      <c r="B249" s="55"/>
      <c r="C249" s="55"/>
    </row>
    <row r="250" spans="2:3" ht="15">
      <c r="B250" s="55"/>
      <c r="C250" s="55"/>
    </row>
    <row r="251" spans="2:3" ht="15">
      <c r="B251" s="55"/>
      <c r="C251" s="55"/>
    </row>
    <row r="252" spans="2:3" ht="15">
      <c r="B252" s="55"/>
      <c r="C252" s="55"/>
    </row>
    <row r="253" spans="2:3" ht="15">
      <c r="B253" s="55"/>
      <c r="C253" s="55"/>
    </row>
    <row r="254" spans="2:3" ht="15">
      <c r="B254" s="55"/>
      <c r="C254" s="55"/>
    </row>
    <row r="255" spans="2:3" ht="15">
      <c r="B255" s="55"/>
      <c r="C255" s="55"/>
    </row>
    <row r="256" spans="2:3" ht="15">
      <c r="B256" s="55"/>
      <c r="C256" s="55"/>
    </row>
    <row r="257" spans="2:3" ht="15">
      <c r="B257" s="55"/>
      <c r="C257" s="55"/>
    </row>
    <row r="258" spans="2:3" ht="15">
      <c r="B258" s="55"/>
      <c r="C258" s="55"/>
    </row>
    <row r="259" spans="2:3" ht="15">
      <c r="B259" s="55"/>
      <c r="C259" s="55"/>
    </row>
    <row r="260" spans="2:3" ht="15">
      <c r="B260" s="55"/>
      <c r="C260" s="55"/>
    </row>
    <row r="261" spans="2:3" ht="15">
      <c r="B261" s="55"/>
      <c r="C261" s="55"/>
    </row>
    <row r="262" spans="2:3" ht="15">
      <c r="B262" s="55"/>
      <c r="C262" s="55"/>
    </row>
    <row r="263" spans="2:3" ht="15">
      <c r="B263" s="55"/>
      <c r="C263" s="55"/>
    </row>
    <row r="264" spans="2:3" ht="15">
      <c r="B264" s="55"/>
      <c r="C264" s="55"/>
    </row>
    <row r="265" spans="2:3" ht="15">
      <c r="B265" s="55"/>
      <c r="C265" s="55"/>
    </row>
    <row r="266" spans="2:3" ht="15">
      <c r="B266" s="55"/>
      <c r="C266" s="55"/>
    </row>
    <row r="267" spans="2:3" ht="15">
      <c r="B267" s="55"/>
      <c r="C267" s="55"/>
    </row>
    <row r="268" spans="2:3" ht="15">
      <c r="B268" s="55"/>
      <c r="C268" s="55"/>
    </row>
    <row r="269" spans="2:3" ht="15">
      <c r="B269" s="55"/>
      <c r="C269" s="55"/>
    </row>
    <row r="270" spans="2:3" ht="15">
      <c r="B270" s="55"/>
      <c r="C270" s="55"/>
    </row>
    <row r="271" spans="2:3" ht="15">
      <c r="B271" s="55"/>
      <c r="C271" s="55"/>
    </row>
    <row r="272" spans="2:3" ht="15">
      <c r="B272" s="55"/>
      <c r="C272" s="55"/>
    </row>
    <row r="273" spans="2:3" ht="15">
      <c r="B273" s="55"/>
      <c r="C273" s="55"/>
    </row>
    <row r="274" spans="2:3" ht="15">
      <c r="B274" s="55"/>
      <c r="C274" s="55"/>
    </row>
    <row r="275" spans="2:3" ht="15">
      <c r="B275" s="55"/>
      <c r="C275" s="55"/>
    </row>
    <row r="276" spans="2:3" ht="15">
      <c r="B276" s="55"/>
      <c r="C276" s="55"/>
    </row>
    <row r="277" spans="2:3" ht="15">
      <c r="B277" s="55"/>
      <c r="C277" s="55"/>
    </row>
    <row r="278" spans="2:3" ht="15">
      <c r="B278" s="55"/>
      <c r="C278" s="55"/>
    </row>
    <row r="279" spans="2:3" ht="15">
      <c r="B279" s="55"/>
      <c r="C279" s="55"/>
    </row>
    <row r="280" spans="2:3" ht="15">
      <c r="B280" s="55"/>
      <c r="C280" s="55"/>
    </row>
    <row r="281" spans="2:3" ht="15">
      <c r="B281" s="55"/>
      <c r="C281" s="55"/>
    </row>
    <row r="282" spans="2:3" ht="15">
      <c r="B282" s="55"/>
      <c r="C282" s="55"/>
    </row>
    <row r="283" spans="2:3" ht="15">
      <c r="B283" s="55"/>
      <c r="C283" s="55"/>
    </row>
    <row r="284" spans="2:3" ht="15">
      <c r="B284" s="55"/>
      <c r="C284" s="55"/>
    </row>
    <row r="285" spans="2:3" ht="15">
      <c r="B285" s="55"/>
      <c r="C285" s="55"/>
    </row>
    <row r="286" spans="2:3" ht="15">
      <c r="B286" s="55"/>
      <c r="C286" s="55"/>
    </row>
    <row r="287" spans="2:3" ht="15">
      <c r="B287" s="55"/>
      <c r="C287" s="55"/>
    </row>
    <row r="288" spans="2:3" ht="15">
      <c r="B288" s="55"/>
      <c r="C288" s="55"/>
    </row>
    <row r="289" spans="2:3" ht="15">
      <c r="B289" s="55"/>
      <c r="C289" s="55"/>
    </row>
    <row r="290" spans="2:3" ht="15">
      <c r="B290" s="55"/>
      <c r="C290" s="55"/>
    </row>
    <row r="291" spans="2:3" ht="15">
      <c r="B291" s="55"/>
      <c r="C291" s="55"/>
    </row>
    <row r="292" spans="2:3" ht="15">
      <c r="B292" s="55"/>
      <c r="C292" s="55"/>
    </row>
    <row r="293" spans="2:3" ht="15">
      <c r="B293" s="55"/>
      <c r="C293" s="55"/>
    </row>
    <row r="294" spans="2:3" ht="15">
      <c r="B294" s="55"/>
      <c r="C294" s="55"/>
    </row>
    <row r="295" spans="2:3" ht="15">
      <c r="B295" s="55"/>
      <c r="C295" s="55"/>
    </row>
    <row r="296" spans="2:3" ht="15">
      <c r="B296" s="55"/>
      <c r="C296" s="55"/>
    </row>
    <row r="297" spans="2:3" ht="15">
      <c r="B297" s="55"/>
      <c r="C297" s="55"/>
    </row>
    <row r="298" spans="2:3" ht="15">
      <c r="B298" s="55"/>
      <c r="C298" s="55"/>
    </row>
    <row r="299" spans="2:3" ht="15">
      <c r="B299" s="55"/>
      <c r="C299" s="55"/>
    </row>
    <row r="300" spans="2:3" ht="15">
      <c r="B300" s="55"/>
      <c r="C300" s="55"/>
    </row>
    <row r="301" spans="2:3" ht="15">
      <c r="B301" s="55"/>
      <c r="C301" s="55"/>
    </row>
    <row r="302" spans="2:3" ht="15">
      <c r="B302" s="55"/>
      <c r="C302" s="55"/>
    </row>
    <row r="303" spans="2:3" ht="15">
      <c r="B303" s="55"/>
      <c r="C303" s="55"/>
    </row>
    <row r="304" spans="2:3" ht="15">
      <c r="B304" s="55"/>
      <c r="C304" s="55"/>
    </row>
    <row r="305" spans="2:3" ht="15">
      <c r="B305" s="55"/>
      <c r="C305" s="55"/>
    </row>
    <row r="306" spans="2:3" ht="15">
      <c r="B306" s="55"/>
      <c r="C306" s="55"/>
    </row>
    <row r="307" spans="2:3" ht="15">
      <c r="B307" s="55"/>
      <c r="C307" s="55"/>
    </row>
    <row r="308" spans="2:3" ht="15">
      <c r="B308" s="55"/>
      <c r="C308" s="55"/>
    </row>
    <row r="309" spans="2:3" ht="15">
      <c r="B309" s="55"/>
      <c r="C309" s="55"/>
    </row>
    <row r="310" spans="2:3" ht="15">
      <c r="B310" s="55"/>
      <c r="C310" s="55"/>
    </row>
    <row r="311" spans="2:3" ht="15">
      <c r="B311" s="55"/>
      <c r="C311" s="55"/>
    </row>
    <row r="312" spans="2:3" ht="15">
      <c r="B312" s="55"/>
      <c r="C312" s="55"/>
    </row>
    <row r="313" spans="2:3" ht="15">
      <c r="B313" s="55"/>
      <c r="C313" s="55"/>
    </row>
    <row r="314" spans="2:3" ht="15">
      <c r="B314" s="55"/>
      <c r="C314" s="55"/>
    </row>
    <row r="315" spans="2:3" ht="15">
      <c r="B315" s="55"/>
      <c r="C315" s="55"/>
    </row>
    <row r="316" spans="2:3" ht="15">
      <c r="B316" s="55"/>
      <c r="C316" s="55"/>
    </row>
    <row r="317" spans="2:3" ht="15">
      <c r="B317" s="55"/>
      <c r="C317" s="55"/>
    </row>
    <row r="318" spans="2:3" ht="15">
      <c r="B318" s="55"/>
      <c r="C318" s="55"/>
    </row>
    <row r="319" spans="2:3" ht="15">
      <c r="B319" s="55"/>
      <c r="C319" s="55"/>
    </row>
    <row r="320" spans="2:3" ht="15">
      <c r="B320" s="55"/>
      <c r="C320" s="55"/>
    </row>
    <row r="321" spans="2:3" ht="15">
      <c r="B321" s="55"/>
      <c r="C321" s="55"/>
    </row>
    <row r="322" spans="2:3" ht="15">
      <c r="B322" s="55"/>
      <c r="C322" s="55"/>
    </row>
    <row r="323" spans="2:3" ht="15">
      <c r="B323" s="55"/>
      <c r="C323" s="55"/>
    </row>
    <row r="324" spans="2:3" ht="15">
      <c r="B324" s="55"/>
      <c r="C324" s="55"/>
    </row>
    <row r="325" spans="2:3" ht="15">
      <c r="B325" s="55"/>
      <c r="C325" s="55"/>
    </row>
    <row r="326" spans="2:3" ht="15">
      <c r="B326" s="55"/>
      <c r="C326" s="55"/>
    </row>
    <row r="327" spans="2:3" ht="15">
      <c r="B327" s="55"/>
      <c r="C327" s="55"/>
    </row>
    <row r="328" spans="2:3" ht="15">
      <c r="B328" s="55"/>
      <c r="C328" s="55"/>
    </row>
    <row r="329" spans="2:3" ht="15">
      <c r="B329" s="55"/>
      <c r="C329" s="55"/>
    </row>
    <row r="330" spans="2:3" ht="15">
      <c r="B330" s="55"/>
      <c r="C330" s="55"/>
    </row>
    <row r="331" spans="2:3" ht="15">
      <c r="B331" s="55"/>
      <c r="C331" s="55"/>
    </row>
    <row r="332" spans="2:3" ht="15">
      <c r="B332" s="55"/>
      <c r="C332" s="55"/>
    </row>
    <row r="333" spans="2:3" ht="15">
      <c r="B333" s="55"/>
      <c r="C333" s="55"/>
    </row>
    <row r="334" spans="2:3" ht="15">
      <c r="B334" s="55"/>
      <c r="C334" s="55"/>
    </row>
    <row r="335" spans="2:3" ht="15">
      <c r="B335" s="55"/>
      <c r="C335" s="55"/>
    </row>
    <row r="336" spans="2:3" ht="15">
      <c r="B336" s="55"/>
      <c r="C336" s="55"/>
    </row>
    <row r="337" spans="2:3" ht="15">
      <c r="B337" s="55"/>
      <c r="C337" s="55"/>
    </row>
  </sheetData>
  <sheetProtection/>
  <mergeCells count="5">
    <mergeCell ref="A40:B40"/>
    <mergeCell ref="A7:M7"/>
    <mergeCell ref="A45:M45"/>
    <mergeCell ref="A41:M41"/>
    <mergeCell ref="A42:M42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60" r:id="rId2"/>
  <rowBreaks count="1" manualBreakCount="1">
    <brk id="40" max="255" man="1"/>
  </rowBreaks>
  <ignoredErrors>
    <ignoredError sqref="I35:I36 I17 I20 I26" formula="1"/>
    <ignoredError sqref="I27:I31 I21:I22 I15:I16 I18:I19" formulaRange="1"/>
    <ignoredError sqref="I25 I34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31"/>
  <sheetViews>
    <sheetView showGridLines="0" zoomScalePageLayoutView="0" workbookViewId="0" topLeftCell="A1">
      <selection activeCell="J31" sqref="J31"/>
    </sheetView>
  </sheetViews>
  <sheetFormatPr defaultColWidth="9.140625" defaultRowHeight="15"/>
  <cols>
    <col min="2" max="2" width="26.57421875" style="0" bestFit="1" customWidth="1"/>
    <col min="3" max="7" width="14.28125" style="0" bestFit="1" customWidth="1"/>
  </cols>
  <sheetData>
    <row r="2" ht="15">
      <c r="D2" s="43"/>
    </row>
    <row r="5" spans="2:7" ht="15">
      <c r="B5" s="93" t="s">
        <v>55</v>
      </c>
      <c r="C5" s="94"/>
      <c r="D5" s="94"/>
      <c r="E5" s="94"/>
      <c r="F5" s="94"/>
      <c r="G5" s="94"/>
    </row>
    <row r="7" spans="2:7" ht="15">
      <c r="B7" s="44"/>
      <c r="C7" s="44">
        <v>2017</v>
      </c>
      <c r="D7" s="44">
        <v>2018</v>
      </c>
      <c r="E7" s="44">
        <v>2019</v>
      </c>
      <c r="F7" s="44">
        <v>2020</v>
      </c>
      <c r="G7" s="68">
        <v>2021</v>
      </c>
    </row>
    <row r="8" spans="2:7" ht="15">
      <c r="B8" s="48" t="s">
        <v>36</v>
      </c>
      <c r="C8" s="41">
        <v>10.31</v>
      </c>
      <c r="D8" s="41">
        <v>8.52</v>
      </c>
      <c r="E8" s="41">
        <v>19.73</v>
      </c>
      <c r="F8" s="41">
        <v>16.63</v>
      </c>
      <c r="G8" s="69">
        <f>'2021'!K10</f>
        <v>12.468235297758229</v>
      </c>
    </row>
    <row r="9" spans="2:7" ht="15">
      <c r="B9" s="5" t="s">
        <v>37</v>
      </c>
      <c r="C9" s="42">
        <v>8.62</v>
      </c>
      <c r="D9" s="42">
        <v>12</v>
      </c>
      <c r="E9" s="42">
        <v>11.72</v>
      </c>
      <c r="F9" s="42">
        <v>11.94</v>
      </c>
      <c r="G9" s="49">
        <f>'2021'!K11</f>
        <v>16.078690792038124</v>
      </c>
    </row>
    <row r="10" spans="2:7" ht="15">
      <c r="B10" s="5" t="s">
        <v>38</v>
      </c>
      <c r="C10" s="42">
        <v>15.31</v>
      </c>
      <c r="D10" s="42">
        <v>20.14</v>
      </c>
      <c r="E10" s="42">
        <v>16.4</v>
      </c>
      <c r="F10" s="42">
        <v>12.79</v>
      </c>
      <c r="G10" s="20">
        <f>'2021'!K12</f>
        <v>17.141991313192186</v>
      </c>
    </row>
    <row r="11" spans="2:7" ht="15">
      <c r="B11" s="5" t="s">
        <v>39</v>
      </c>
      <c r="C11" s="42">
        <v>9.15</v>
      </c>
      <c r="D11" s="42">
        <v>10.24</v>
      </c>
      <c r="E11" s="42">
        <v>11.62</v>
      </c>
      <c r="F11" s="42">
        <v>8.73</v>
      </c>
      <c r="G11" s="77">
        <f>'2021'!K13</f>
        <v>11.011101995978233</v>
      </c>
    </row>
    <row r="12" spans="2:7" ht="15">
      <c r="B12" s="5" t="s">
        <v>40</v>
      </c>
      <c r="C12" s="42">
        <v>21.06</v>
      </c>
      <c r="D12" s="42">
        <v>18.75</v>
      </c>
      <c r="E12" s="42">
        <v>16.71</v>
      </c>
      <c r="F12" s="42">
        <v>15.14</v>
      </c>
      <c r="G12" s="77">
        <f>'2021'!K14</f>
        <v>17.021071044453883</v>
      </c>
    </row>
    <row r="13" spans="2:7" ht="15">
      <c r="B13" s="5" t="s">
        <v>41</v>
      </c>
      <c r="C13" s="42">
        <v>0</v>
      </c>
      <c r="D13" s="42">
        <v>0</v>
      </c>
      <c r="E13" s="42">
        <v>0</v>
      </c>
      <c r="F13" s="42">
        <v>0</v>
      </c>
      <c r="G13" s="49">
        <v>0</v>
      </c>
    </row>
    <row r="14" spans="2:7" ht="15">
      <c r="B14" s="5" t="s">
        <v>49</v>
      </c>
      <c r="C14" s="42">
        <v>0</v>
      </c>
      <c r="D14" s="42">
        <v>0</v>
      </c>
      <c r="E14" s="42">
        <v>24.39</v>
      </c>
      <c r="F14" s="42">
        <v>0</v>
      </c>
      <c r="G14" s="49">
        <v>0</v>
      </c>
    </row>
    <row r="15" spans="2:7" ht="15">
      <c r="B15" s="5" t="s">
        <v>42</v>
      </c>
      <c r="C15" s="42">
        <v>0</v>
      </c>
      <c r="D15" s="42">
        <v>7.99</v>
      </c>
      <c r="E15" s="42">
        <v>0</v>
      </c>
      <c r="F15" s="42">
        <v>0</v>
      </c>
      <c r="G15" s="49">
        <v>0</v>
      </c>
    </row>
    <row r="16" spans="2:7" ht="15">
      <c r="B16" s="5" t="s">
        <v>50</v>
      </c>
      <c r="C16" s="42">
        <v>0</v>
      </c>
      <c r="D16" s="42">
        <v>0</v>
      </c>
      <c r="E16" s="42">
        <v>13.83</v>
      </c>
      <c r="F16" s="42">
        <v>0</v>
      </c>
      <c r="G16" s="49">
        <v>0</v>
      </c>
    </row>
    <row r="17" spans="2:7" ht="15">
      <c r="B17" s="5" t="s">
        <v>51</v>
      </c>
      <c r="C17" s="42">
        <v>0</v>
      </c>
      <c r="D17" s="42">
        <v>0</v>
      </c>
      <c r="E17" s="42">
        <v>24</v>
      </c>
      <c r="F17" s="42">
        <v>0</v>
      </c>
      <c r="G17" s="49">
        <v>0</v>
      </c>
    </row>
    <row r="18" spans="2:7" ht="15">
      <c r="B18" s="5" t="s">
        <v>48</v>
      </c>
      <c r="C18" s="42">
        <v>0</v>
      </c>
      <c r="D18" s="42">
        <v>21.21</v>
      </c>
      <c r="E18" s="42">
        <v>0</v>
      </c>
      <c r="F18" s="42">
        <v>0</v>
      </c>
      <c r="G18" s="49">
        <v>0</v>
      </c>
    </row>
    <row r="19" spans="2:7" ht="15">
      <c r="B19" s="5" t="s">
        <v>62</v>
      </c>
      <c r="C19" s="42">
        <v>0</v>
      </c>
      <c r="D19" s="42">
        <v>0</v>
      </c>
      <c r="E19" s="42">
        <v>16.61</v>
      </c>
      <c r="F19" s="42">
        <v>7.35</v>
      </c>
      <c r="G19" s="77">
        <f>'2021'!K17</f>
        <v>10.687143024441752</v>
      </c>
    </row>
    <row r="20" spans="2:7" ht="15">
      <c r="B20" s="5" t="s">
        <v>70</v>
      </c>
      <c r="C20" s="78"/>
      <c r="D20" s="78"/>
      <c r="E20" s="78"/>
      <c r="F20" s="78"/>
      <c r="G20" s="78">
        <f>'2021'!K20</f>
        <v>17.58347038310631</v>
      </c>
    </row>
    <row r="21" spans="2:7" ht="15">
      <c r="B21" s="5" t="s">
        <v>43</v>
      </c>
      <c r="C21" s="42">
        <v>47.9</v>
      </c>
      <c r="D21" s="42">
        <v>0</v>
      </c>
      <c r="E21" s="42">
        <v>0</v>
      </c>
      <c r="F21" s="42">
        <v>0</v>
      </c>
      <c r="G21" s="49">
        <v>0</v>
      </c>
    </row>
    <row r="22" spans="2:7" ht="15">
      <c r="B22" s="5" t="s">
        <v>44</v>
      </c>
      <c r="C22" s="42">
        <v>39.99</v>
      </c>
      <c r="D22" s="42">
        <v>59.29</v>
      </c>
      <c r="E22" s="42">
        <v>44.26</v>
      </c>
      <c r="F22" s="42">
        <v>31.82</v>
      </c>
      <c r="G22" s="77">
        <f>'2021'!K26</f>
        <v>60.458989582640555</v>
      </c>
    </row>
    <row r="23" spans="2:7" ht="15">
      <c r="B23" s="5" t="s">
        <v>56</v>
      </c>
      <c r="C23" s="42">
        <v>0</v>
      </c>
      <c r="D23" s="42">
        <v>0</v>
      </c>
      <c r="E23" s="42">
        <v>0</v>
      </c>
      <c r="F23" s="42">
        <v>27.31</v>
      </c>
      <c r="G23" s="77">
        <f>'2021'!K23</f>
        <v>43.19081889164869</v>
      </c>
    </row>
    <row r="24" spans="2:7" ht="15">
      <c r="B24" s="5" t="s">
        <v>59</v>
      </c>
      <c r="C24" s="49">
        <v>0</v>
      </c>
      <c r="D24" s="49">
        <v>0</v>
      </c>
      <c r="E24" s="49">
        <v>0</v>
      </c>
      <c r="F24" s="49">
        <v>32.86</v>
      </c>
      <c r="G24" s="49">
        <v>0</v>
      </c>
    </row>
    <row r="25" spans="2:7" ht="15">
      <c r="B25" s="5" t="s">
        <v>57</v>
      </c>
      <c r="C25" s="42">
        <v>265.41</v>
      </c>
      <c r="D25" s="42">
        <v>0</v>
      </c>
      <c r="E25" s="42">
        <v>672.46</v>
      </c>
      <c r="F25" s="42">
        <v>674.26</v>
      </c>
      <c r="G25" s="49">
        <v>0</v>
      </c>
    </row>
    <row r="26" spans="2:7" ht="15">
      <c r="B26" s="5" t="s">
        <v>45</v>
      </c>
      <c r="C26" s="42">
        <v>49.18</v>
      </c>
      <c r="D26" s="42">
        <v>53.25</v>
      </c>
      <c r="E26" s="42">
        <v>0</v>
      </c>
      <c r="F26" s="42">
        <v>0</v>
      </c>
      <c r="G26" s="49">
        <v>0</v>
      </c>
    </row>
    <row r="27" spans="2:7" ht="15">
      <c r="B27" s="5" t="s">
        <v>46</v>
      </c>
      <c r="C27" s="42">
        <v>12.69</v>
      </c>
      <c r="D27" s="42">
        <v>0</v>
      </c>
      <c r="E27" s="42">
        <v>0</v>
      </c>
      <c r="F27" s="42">
        <v>0</v>
      </c>
      <c r="G27" s="49">
        <v>0</v>
      </c>
    </row>
    <row r="28" spans="2:7" ht="15">
      <c r="B28" s="5" t="s">
        <v>47</v>
      </c>
      <c r="C28" s="42">
        <v>284.8</v>
      </c>
      <c r="D28" s="42">
        <v>267.83</v>
      </c>
      <c r="E28" s="42">
        <v>131.44</v>
      </c>
      <c r="F28" s="42">
        <v>341.19</v>
      </c>
      <c r="G28" s="20">
        <f>'2021'!K36</f>
        <v>439.22124938398065</v>
      </c>
    </row>
    <row r="29" spans="2:7" ht="15">
      <c r="B29" s="6" t="s">
        <v>52</v>
      </c>
      <c r="C29" s="45">
        <v>542069.914</v>
      </c>
      <c r="D29" s="45">
        <v>718106.86</v>
      </c>
      <c r="E29" s="45">
        <v>741749.441</v>
      </c>
      <c r="F29" s="45">
        <v>799481.707</v>
      </c>
      <c r="G29" s="70">
        <f>'2021'!J39</f>
        <v>705379.5599999999</v>
      </c>
    </row>
    <row r="30" spans="2:7" ht="15">
      <c r="B30" s="6" t="s">
        <v>53</v>
      </c>
      <c r="C30" s="46">
        <v>14695629.8</v>
      </c>
      <c r="D30" s="46">
        <v>17231600.29</v>
      </c>
      <c r="E30" s="46">
        <v>21567704.66</v>
      </c>
      <c r="F30" s="46">
        <v>22616574.8</v>
      </c>
      <c r="G30" s="71">
        <f>'2021'!I39</f>
        <v>22313051.88</v>
      </c>
    </row>
    <row r="31" spans="2:7" ht="15">
      <c r="B31" s="44" t="s">
        <v>54</v>
      </c>
      <c r="C31" s="47">
        <f>C30/C29</f>
        <v>27.110211100924523</v>
      </c>
      <c r="D31" s="47">
        <f>D30/D29</f>
        <v>23.99587199320168</v>
      </c>
      <c r="E31" s="47">
        <f>E30/E29</f>
        <v>29.076806085520193</v>
      </c>
      <c r="F31" s="47">
        <f>F30/F29</f>
        <v>28.289046018159862</v>
      </c>
      <c r="G31" s="47">
        <f>G30/G29</f>
        <v>31.632688477675764</v>
      </c>
    </row>
  </sheetData>
  <sheetProtection/>
  <mergeCells count="1">
    <mergeCell ref="B5:G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flavia.correa</dc:creator>
  <cp:keywords/>
  <dc:description/>
  <cp:lastModifiedBy>flavia.correa</cp:lastModifiedBy>
  <cp:lastPrinted>2021-12-07T17:33:27Z</cp:lastPrinted>
  <dcterms:created xsi:type="dcterms:W3CDTF">2016-06-30T17:05:40Z</dcterms:created>
  <dcterms:modified xsi:type="dcterms:W3CDTF">2022-01-05T21:02:22Z</dcterms:modified>
  <cp:category/>
  <cp:version/>
  <cp:contentType/>
  <cp:contentStatus/>
</cp:coreProperties>
</file>