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resumo" sheetId="1" r:id="rId1"/>
    <sheet name="Mov. Cargas " sheetId="2" r:id="rId2"/>
    <sheet name="cargas mensal" sheetId="3" r:id="rId3"/>
    <sheet name="médias móveis cargas" sheetId="4" r:id="rId4"/>
    <sheet name="Compar. Cargas" sheetId="5" r:id="rId5"/>
    <sheet name="Export. Import." sheetId="6" r:id="rId6"/>
    <sheet name="receitas" sheetId="7" r:id="rId7"/>
    <sheet name="detalhe faturamento" sheetId="8" r:id="rId8"/>
    <sheet name="Compar. receitas" sheetId="9" r:id="rId9"/>
    <sheet name="berço 101" sheetId="10" r:id="rId10"/>
    <sheet name="Compar. berços" sheetId="11" r:id="rId11"/>
  </sheets>
  <definedNames>
    <definedName name="_xlnm.Print_Area" localSheetId="1">'Mov. Cargas '!$A$1:$O$107</definedName>
  </definedNames>
  <calcPr fullCalcOnLoad="1"/>
</workbook>
</file>

<file path=xl/sharedStrings.xml><?xml version="1.0" encoding="utf-8"?>
<sst xmlns="http://schemas.openxmlformats.org/spreadsheetml/2006/main" count="1261" uniqueCount="622">
  <si>
    <t>MESES</t>
  </si>
  <si>
    <t xml:space="preserve">  J A N E I R O </t>
  </si>
  <si>
    <t xml:space="preserve"> F E V E R E I R O</t>
  </si>
  <si>
    <t xml:space="preserve">    M  A  R  Ç  O</t>
  </si>
  <si>
    <t xml:space="preserve">   A  B  R  I  L</t>
  </si>
  <si>
    <t xml:space="preserve">      M  A  I  O  </t>
  </si>
  <si>
    <t xml:space="preserve">  J  U  N  H  O  </t>
  </si>
  <si>
    <t xml:space="preserve">   TOTAL   ACUMULADO</t>
  </si>
  <si>
    <t>QTDE</t>
  </si>
  <si>
    <t>PESO</t>
  </si>
  <si>
    <t xml:space="preserve"> SUBTOTAL =====&gt;</t>
  </si>
  <si>
    <t>EXPORTAÇ/CARGA</t>
  </si>
  <si>
    <t xml:space="preserve"> </t>
  </si>
  <si>
    <t xml:space="preserve"> TOTAIS MENSAIS</t>
  </si>
  <si>
    <t>J U L H O</t>
  </si>
  <si>
    <t>A G O S T O</t>
  </si>
  <si>
    <t>JANEIRO</t>
  </si>
  <si>
    <t>FEVEREIRO</t>
  </si>
  <si>
    <t>MARÇO</t>
  </si>
  <si>
    <t>TOTAL ACUMULADO</t>
  </si>
  <si>
    <t>VEÍCULOS</t>
  </si>
  <si>
    <t>BARRILHA A GRANEL</t>
  </si>
  <si>
    <t>MALTE A GRANEL</t>
  </si>
  <si>
    <t>CEVADA A GRANEL</t>
  </si>
  <si>
    <t>IMPORTAÇÃO/DESCARGA</t>
  </si>
  <si>
    <t>RAÇÃO EM SACAS</t>
  </si>
  <si>
    <t>MÁQUINAS/EQUIPAM.</t>
  </si>
  <si>
    <t>ANIMAIS VIVOS</t>
  </si>
  <si>
    <t>ULEXITA A GRANEL</t>
  </si>
  <si>
    <t>SULFATO DE SÓDIO GR.</t>
  </si>
  <si>
    <t xml:space="preserve">TUBOS </t>
  </si>
  <si>
    <t>CHAPAS DE AÇO</t>
  </si>
  <si>
    <t>S E T E M B R O</t>
  </si>
  <si>
    <t>O U T U B R O</t>
  </si>
  <si>
    <t>N O V E M B R O</t>
  </si>
  <si>
    <t>D E Z E M B R O</t>
  </si>
  <si>
    <t>JULHO</t>
  </si>
  <si>
    <t>AGOSTO</t>
  </si>
  <si>
    <t>SETEMBRO</t>
  </si>
  <si>
    <t>OUTUBRO</t>
  </si>
  <si>
    <t>NOVEMBRO</t>
  </si>
  <si>
    <t>DEZEMBRO</t>
  </si>
  <si>
    <t>CONTEINER 40"</t>
  </si>
  <si>
    <t>BOBINAS FIO MÁQUINA</t>
  </si>
  <si>
    <t>TRILHOS DE AÇO</t>
  </si>
  <si>
    <t>Danos ao Patrimônio</t>
  </si>
  <si>
    <t>Telefonemas Terceirizad.</t>
  </si>
  <si>
    <t>RESSAR.DESPESAS:</t>
  </si>
  <si>
    <t>Balança</t>
  </si>
  <si>
    <t>Energia Elétrica</t>
  </si>
  <si>
    <t>Água</t>
  </si>
  <si>
    <t>Infra Estrutura Terrestre</t>
  </si>
  <si>
    <t>TABELA III</t>
  </si>
  <si>
    <t>Atracação</t>
  </si>
  <si>
    <t>TABELA II</t>
  </si>
  <si>
    <t>TABELA I</t>
  </si>
  <si>
    <t>TOTAL EM R$</t>
  </si>
  <si>
    <t>JUNHO</t>
  </si>
  <si>
    <t>MAIO</t>
  </si>
  <si>
    <t>ABRIL</t>
  </si>
  <si>
    <t>ÍTEM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</si>
  <si>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</si>
  <si>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</si>
  <si>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</si>
  <si>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</si>
  <si>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</si>
  <si>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</si>
  <si>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</si>
  <si>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</si>
  <si>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</si>
  <si>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</si>
  <si>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</si>
  <si>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</si>
  <si>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em  %</t>
  </si>
  <si>
    <t>TOTAL</t>
  </si>
  <si>
    <t>Exportação/ Carga</t>
  </si>
  <si>
    <t>Importação/ Descarga</t>
  </si>
  <si>
    <t>M Ê S</t>
  </si>
  <si>
    <t>Variação</t>
  </si>
  <si>
    <t xml:space="preserve">  EM TONELADAS</t>
  </si>
  <si>
    <t>EXPORTAÇÃO / IMPORTAÇÃO</t>
  </si>
  <si>
    <t>MOVIMENTAÇÃO DE CARGAS NO CAIS COMERCIAL</t>
  </si>
  <si>
    <t>QUADRO COMPARATIVO II</t>
  </si>
  <si>
    <t xml:space="preserve">VARIAÇÃO </t>
  </si>
  <si>
    <t>NAVIOS LONGO CURSO E CABOTAGEM EM DIAS</t>
  </si>
  <si>
    <t>OCUPAÇÃO DO BERÇO 101 - PORTO S.S.</t>
  </si>
  <si>
    <t>MENOR MOVIMENTAÇÃO</t>
  </si>
  <si>
    <t>MAIOR MOVIMENTAÇÃO</t>
  </si>
  <si>
    <t>LEGENDA</t>
  </si>
  <si>
    <t>MÊS</t>
  </si>
  <si>
    <t>ANO</t>
  </si>
  <si>
    <t>MOVIMENTAÇÃO DE CARGAS NO PORTO DE SÃO SEBASTIÃO</t>
  </si>
  <si>
    <t xml:space="preserve">inicial </t>
  </si>
  <si>
    <t>MÉDIA MENSAL</t>
  </si>
  <si>
    <t>TOTAL ACUMUL. 12 MESES</t>
  </si>
  <si>
    <t>PERÍODO APURADO</t>
  </si>
  <si>
    <t>MOVIMENTAÇÃO DE CARGAS NO PORTO DE SÃO SEBASTIÃO - MÉDIAS MÓVEIS</t>
  </si>
  <si>
    <t>EM DIAS</t>
  </si>
  <si>
    <t>OCUPAÇÃO</t>
  </si>
  <si>
    <t>ATRACADO</t>
  </si>
  <si>
    <t xml:space="preserve">N A V I O </t>
  </si>
  <si>
    <t>TEMPO (DIAS)</t>
  </si>
  <si>
    <t>PERÍODO</t>
  </si>
  <si>
    <t>NOME DO</t>
  </si>
  <si>
    <t>PERÍODOS DE OCUPAÇÃO  -  BERÇO 101  /  LONGO CURSO e CABOTAGEM</t>
  </si>
  <si>
    <t>VARIAÇÃO %</t>
  </si>
  <si>
    <t>COMPARATIVOS E VARIAÇÕES PERCENTUAIS</t>
  </si>
  <si>
    <t>média mensal</t>
  </si>
  <si>
    <t>TOTAL GERAL</t>
  </si>
  <si>
    <t>SUBTOTAL</t>
  </si>
  <si>
    <t>Chapas de aço</t>
  </si>
  <si>
    <t>Bags Quimicos</t>
  </si>
  <si>
    <t>Ração animal</t>
  </si>
  <si>
    <t>Animais Vivos</t>
  </si>
  <si>
    <t>Veículos</t>
  </si>
  <si>
    <t>Exportações/carregamentos</t>
  </si>
  <si>
    <t>Trilhos de Aço</t>
  </si>
  <si>
    <t>Bauxita a granel/ Bags</t>
  </si>
  <si>
    <t>Ulexita a granel</t>
  </si>
  <si>
    <t>Maquinas/Equipamentos</t>
  </si>
  <si>
    <t>Malte e Cevada granel</t>
  </si>
  <si>
    <t>Sulfato Sódio granel</t>
  </si>
  <si>
    <t>Barrilha granel</t>
  </si>
  <si>
    <t>Importações/descargas</t>
  </si>
  <si>
    <t>DADOS EM TONELADAS MOVIMENTADAS</t>
  </si>
  <si>
    <t>PORTO DE SÃO SEBASTIÃO - Quadros comparativos</t>
  </si>
  <si>
    <t xml:space="preserve">OUTRAS </t>
  </si>
  <si>
    <t>RECEITAS FINANC.</t>
  </si>
  <si>
    <r>
      <t xml:space="preserve">TAB IV </t>
    </r>
    <r>
      <rPr>
        <sz val="10"/>
        <rFont val="Arial"/>
        <family val="2"/>
      </rPr>
      <t>(Armaz. e Perm. Uso)</t>
    </r>
  </si>
  <si>
    <t>TAB III</t>
  </si>
  <si>
    <t>TAB II</t>
  </si>
  <si>
    <t>TAB I - canal/ cais</t>
  </si>
  <si>
    <t>DADOS EM R$</t>
  </si>
  <si>
    <t>MÉDIA MENSAL FATURAMENTO</t>
  </si>
  <si>
    <t>Mês Atual</t>
  </si>
  <si>
    <t>RECEITAS FATURADAS</t>
  </si>
  <si>
    <t>MÉDIA MENSAL MOV. DE CARGAS</t>
  </si>
  <si>
    <t>* cresce a ocupação do berço e reduz, numa lógica positiva, a ociosidade</t>
  </si>
  <si>
    <t>OPERACIONAL</t>
  </si>
  <si>
    <t>CONTEINER 20"</t>
  </si>
  <si>
    <t>Navios Atracados no Mês ( Berço 101 - Principal )</t>
  </si>
  <si>
    <t>Tempo de Ocupação do Cais principal em Dias</t>
  </si>
  <si>
    <t>Total de Cargas Movimentadas no Mês em tons</t>
  </si>
  <si>
    <t>Faturamento no Mês</t>
  </si>
  <si>
    <t>CONTEINER 20" CHEIOS</t>
  </si>
  <si>
    <t>CONTEINER 40" CHEIOS</t>
  </si>
  <si>
    <t>CONTAINER 40" CHEIOS</t>
  </si>
  <si>
    <t>Conteiner 20" CHEIOS</t>
  </si>
  <si>
    <t>Conteiner 40" CHEIOS</t>
  </si>
  <si>
    <t>Container 40" CHEIOS</t>
  </si>
  <si>
    <t xml:space="preserve">Taxas tarifárias </t>
  </si>
  <si>
    <t>SULFATO DE SÓDIO A GRANEL</t>
  </si>
  <si>
    <t>MÁQUINAS/EQUIPAMENTOS</t>
  </si>
  <si>
    <t>CIMENTO GRANEL (Apoio Marít.)</t>
  </si>
  <si>
    <t>Cimento granel (Ap. Mar.)</t>
  </si>
  <si>
    <t>APOIO PORTUÁRIO</t>
  </si>
  <si>
    <t>TUBOS (Apoio Marít.)</t>
  </si>
  <si>
    <t>Operação Apoio Portuário</t>
  </si>
  <si>
    <t>Tubos  ( Apoio Marítimo)</t>
  </si>
  <si>
    <t>Maquinas e Equipamentos</t>
  </si>
  <si>
    <r>
      <t>Módulos Schahin (</t>
    </r>
    <r>
      <rPr>
        <sz val="10"/>
        <rFont val="Arial"/>
        <family val="2"/>
      </rPr>
      <t>Apo. Mar.)</t>
    </r>
  </si>
  <si>
    <t>Janeiro a dezembro</t>
  </si>
  <si>
    <t>MÉDIA MENSAL MOVIMENTAÇÃO</t>
  </si>
  <si>
    <t>MÉDIA RECEITA POR TONELADA</t>
  </si>
  <si>
    <t>Armazenagem</t>
  </si>
  <si>
    <t>RECEITA OPERACIONAL BRUTA</t>
  </si>
  <si>
    <t>TAB V (balanç.+agua/luz)</t>
  </si>
  <si>
    <t>CONTAINER 20" CHEIOS</t>
  </si>
  <si>
    <t>Chapas de Aço/Amarrados</t>
  </si>
  <si>
    <t>Container 20" CHEIOS</t>
  </si>
  <si>
    <t>TEMPO VAGO</t>
  </si>
  <si>
    <t>O tempo de ocupação dos berços é calculado em função do somatório de horas de permanência das embarcações, desde a chegada ao Porto e até sua desatra-</t>
  </si>
  <si>
    <t>Navios Atracados no Mês-demais berços-ap.mar.</t>
  </si>
  <si>
    <r>
      <t>Tempo Vago</t>
    </r>
    <r>
      <rPr>
        <b/>
        <sz val="12"/>
        <color indexed="62"/>
        <rFont val="Calibri"/>
        <family val="2"/>
      </rPr>
      <t xml:space="preserve"> </t>
    </r>
    <r>
      <rPr>
        <sz val="12"/>
        <color indexed="8"/>
        <rFont val="Calibri"/>
        <family val="2"/>
      </rPr>
      <t>do Cais principal em Dias</t>
    </r>
  </si>
  <si>
    <t xml:space="preserve">ACUMULADO NO ANO </t>
  </si>
  <si>
    <t>jan/16 a dez/16</t>
  </si>
  <si>
    <t>fev/16 a jan/17</t>
  </si>
  <si>
    <t>mar/16 a fev/17</t>
  </si>
  <si>
    <t>Mês Anterior</t>
  </si>
  <si>
    <t>ABR/16 a mar/17</t>
  </si>
  <si>
    <t>mai/16 a abr/17</t>
  </si>
  <si>
    <t>Meio Ambiente / coleta resíduos</t>
  </si>
  <si>
    <t>jun/16 a maio/17</t>
  </si>
  <si>
    <t>maior média</t>
  </si>
  <si>
    <t>menor média</t>
  </si>
  <si>
    <t>jul/16 a jun/17</t>
  </si>
  <si>
    <t>MÉDIA MENSAL ULTIMOS 12 MESES</t>
  </si>
  <si>
    <t>ago/16 a jul/17</t>
  </si>
  <si>
    <t>set/16 a ago/17</t>
  </si>
  <si>
    <t>out/16 a set/17</t>
  </si>
  <si>
    <t>nov/16 a out/17</t>
  </si>
  <si>
    <t>dez/16 a nov/17</t>
  </si>
  <si>
    <t>jan/17 a dez/17</t>
  </si>
  <si>
    <t>fev17 a jan/18</t>
  </si>
  <si>
    <t>mar/17 a fev/18</t>
  </si>
  <si>
    <t>abr/17 a mar/18</t>
  </si>
  <si>
    <t>mai/17 a abr/18</t>
  </si>
  <si>
    <t>carga movimentada</t>
  </si>
  <si>
    <t>GADO BOVINO VIVO</t>
  </si>
  <si>
    <t>BARRILHA</t>
  </si>
  <si>
    <t>OUTROS GRANÉIS</t>
  </si>
  <si>
    <t>produto</t>
  </si>
  <si>
    <t>qtde navios</t>
  </si>
  <si>
    <t>junho/17 a maio/18</t>
  </si>
  <si>
    <t>julho/17 a junho/18</t>
  </si>
  <si>
    <t>agosto/17 a julho/18</t>
  </si>
  <si>
    <t>cação, convertido em dias ( dividido por 24 horas).</t>
  </si>
  <si>
    <t>GIPSITA A GRANEL</t>
  </si>
  <si>
    <t>set/17 a agosto/18</t>
  </si>
  <si>
    <t>gipsita a granel</t>
  </si>
  <si>
    <t>out/17 a setembro/18</t>
  </si>
  <si>
    <t>nov/17 a outubro/18</t>
  </si>
  <si>
    <t>dez/17 a novembro/18</t>
  </si>
  <si>
    <t>ISS DEVIDO</t>
  </si>
  <si>
    <t>jan/18 a dezembro/18</t>
  </si>
  <si>
    <t>SILICATO DE SÓDIO A GRANEL</t>
  </si>
  <si>
    <t>EVOLUÇÃO</t>
  </si>
  <si>
    <t>fev/18 a jan/19</t>
  </si>
  <si>
    <t>Silicato de sódio granel</t>
  </si>
  <si>
    <t>mar/18 a fev/19</t>
  </si>
  <si>
    <t>CARVÃO MINERAL A GRANEL</t>
  </si>
  <si>
    <t>ALUMINA CALCINADA A GRANEL</t>
  </si>
  <si>
    <t>abril/18 a março/19</t>
  </si>
  <si>
    <t>carvão mineral a granel</t>
  </si>
  <si>
    <t>maio/18 a abril/19</t>
  </si>
  <si>
    <t>alumina calcinada granel</t>
  </si>
  <si>
    <t>SILICATO DE CAULIN GRANEL LIQ.</t>
  </si>
  <si>
    <t>junho/18 a maio/19</t>
  </si>
  <si>
    <t>Silicato de caulin granel liq</t>
  </si>
  <si>
    <t>julho/18 a junho/19</t>
  </si>
  <si>
    <t>SILICATO DE CAULIN HIDRATADO</t>
  </si>
  <si>
    <t>MÁQUINAS E EQUIPAMENTOS</t>
  </si>
  <si>
    <t>RAÇÃO ANIMAL</t>
  </si>
  <si>
    <t>agosto/18 a julho/19</t>
  </si>
  <si>
    <t>trilhos de aço</t>
  </si>
  <si>
    <t>setembro/18 a agosto/19</t>
  </si>
  <si>
    <t>RECEITA ARRECADADA</t>
  </si>
  <si>
    <t>outubro/18 a setembro/19</t>
  </si>
  <si>
    <t>RECEITA FATURADA</t>
  </si>
  <si>
    <t>novembro/18 a outubro/19</t>
  </si>
  <si>
    <t>retirada carga em perdimento</t>
  </si>
  <si>
    <t>dezembro/18 a novembro/19</t>
  </si>
  <si>
    <t>Administrativas + crachás + acréscimos</t>
  </si>
  <si>
    <t>janeiro/19 a dezembro/19</t>
  </si>
  <si>
    <t>fevereiro/19 a janeiro/20</t>
  </si>
  <si>
    <t>PORTO DE SÃO SEBASTIÃO - Quadros comparativos 2020</t>
  </si>
  <si>
    <t>SILICATO DE SÓDIO VIDRO</t>
  </si>
  <si>
    <t>março/19 a fevereiro/20</t>
  </si>
  <si>
    <t>Silicato de vidro</t>
  </si>
  <si>
    <t>total anual</t>
  </si>
  <si>
    <t>abril/19 a março/20</t>
  </si>
  <si>
    <t>totais</t>
  </si>
  <si>
    <t>maio/19 a abril/20</t>
  </si>
  <si>
    <t>junho/19 a maio/20</t>
  </si>
  <si>
    <t>taxa ocupação anual</t>
  </si>
  <si>
    <t xml:space="preserve">taxa </t>
  </si>
  <si>
    <t>ocupação</t>
  </si>
  <si>
    <t>NAVIOS</t>
  </si>
  <si>
    <t>AÇUCAR EM SACAS</t>
  </si>
  <si>
    <t>julho/19 a junho/20</t>
  </si>
  <si>
    <t>açucar em sacas</t>
  </si>
  <si>
    <t>AÇUCAR EM SACOS</t>
  </si>
  <si>
    <t>agosto/19 a julho/20</t>
  </si>
  <si>
    <t>setembro/19 a agosto/20</t>
  </si>
  <si>
    <t>ociosidade</t>
  </si>
  <si>
    <t>navios tanque petroleo e derivados</t>
  </si>
  <si>
    <t>navios turismo</t>
  </si>
  <si>
    <t xml:space="preserve">     </t>
  </si>
  <si>
    <t>óxido de alumínio</t>
  </si>
  <si>
    <t>outubro/19 a setembro/20</t>
  </si>
  <si>
    <t>MILHO A GRANEL E EM BAGS</t>
  </si>
  <si>
    <t>novembro/19 a outubro/20</t>
  </si>
  <si>
    <t>milho a granel e em bags</t>
  </si>
  <si>
    <t>MILHO EM SACOS e BAGS</t>
  </si>
  <si>
    <t>dezembro/19 a novembro/20</t>
  </si>
  <si>
    <t>TABELA V</t>
  </si>
  <si>
    <t>janeiro/20 a dezembro/20</t>
  </si>
  <si>
    <t>navios + barcos apoio cais comercial</t>
  </si>
  <si>
    <t>RESUMO DO RELATÓRIO OPERACIONAL E DE RECEITAS FATURADAS 2021</t>
  </si>
  <si>
    <t>Mês Atual 2021</t>
  </si>
  <si>
    <t>MOVIMENTAÇÃO 2021</t>
  </si>
  <si>
    <t xml:space="preserve">   MOVIMENTAÇÃO DE CARGAS NO PORTO DE SÃO SEBASTIÃO  -  1º  SEMESTRE 2021  ( EM TONELADAS )</t>
  </si>
  <si>
    <t xml:space="preserve">   MOVIMENTAÇÃO DE CARGAS NO PORTO DE SÃO SEBASTIÃO  -  2º  SEMESTRE 2021  ( EM TONELADAS )</t>
  </si>
  <si>
    <t>PERIODO DE JANEIRO DE 2008 a DEZEMBRO DE 2021</t>
  </si>
  <si>
    <t>fevereiro/20 a janeiro/21</t>
  </si>
  <si>
    <t>Produtos Movimentados em 2020</t>
  </si>
  <si>
    <t>RELATÓRIO DE RECEITAS FATURADAS DO PORTO DE SÃO SEBASTIÃO 2021</t>
  </si>
  <si>
    <t>NAVIOS ATRACADOS NO PORTO DE SÃO SEBASTIÃO  -  2021</t>
  </si>
  <si>
    <t>01/01 - 00:00 h a 05/01 - 23:12 h</t>
  </si>
  <si>
    <t>001 - SAGA FRONTIER</t>
  </si>
  <si>
    <t>19/01 - 07:25 h a 21/01 - 03:45 h</t>
  </si>
  <si>
    <t>002 - AFRICAN MERLIN</t>
  </si>
  <si>
    <t>25/01 - 13:00 h a 28/01 - 21:15 h</t>
  </si>
  <si>
    <t>28/01 - 23:35 h a 31/01 - 24:00 h</t>
  </si>
  <si>
    <t>062 - COLUMBIA (atracou em 30/12/20)</t>
  </si>
  <si>
    <t>003 - EKATERINA (desatracou em 02/02/21)</t>
  </si>
  <si>
    <t>Receita Econômica 2020</t>
  </si>
  <si>
    <t>total navios janeiro a dezembro/2021</t>
  </si>
  <si>
    <t>março/20 a fevereiro/21</t>
  </si>
  <si>
    <t xml:space="preserve">003 - EKATERINA </t>
  </si>
  <si>
    <t>01/02 - 00:00 h a 02/02 - 18:59 h</t>
  </si>
  <si>
    <t>004 - TAWA ARROW</t>
  </si>
  <si>
    <t>SILICATO DE VIDRO</t>
  </si>
  <si>
    <t>07/02 - 22:15 h a 09/02 - 12:15 h</t>
  </si>
  <si>
    <t>005 - LADY DAMLA</t>
  </si>
  <si>
    <t>09/02 - 14:30 h a 16/02 - 08:32 h</t>
  </si>
  <si>
    <t>006 - SAGA FLORA</t>
  </si>
  <si>
    <t>16/02 - 16:35 h a 19/02 - 13:15 h</t>
  </si>
  <si>
    <t>007 - HOSANGER</t>
  </si>
  <si>
    <t>19/02 - 19:00 h a 22/02 - 23:10 h</t>
  </si>
  <si>
    <t>008 - SUZANNA D</t>
  </si>
  <si>
    <t>23/02 - 02:20 h a 28/02 - 20:10 h</t>
  </si>
  <si>
    <t>navios</t>
  </si>
  <si>
    <t xml:space="preserve">dias </t>
  </si>
  <si>
    <t>redução da média</t>
  </si>
  <si>
    <t>MOVIMENTAÇÃO 2021 - operacional - toneladas</t>
  </si>
  <si>
    <t xml:space="preserve">MOVIMENTAÇÃO 2021 - financeira - em R$ </t>
  </si>
  <si>
    <t>Mês Anterior 2021</t>
  </si>
  <si>
    <t>abril/20 a março/21</t>
  </si>
  <si>
    <t>009 - MARSDEN POINT</t>
  </si>
  <si>
    <t>01/03 - 02:00 h a 0203 - 14:35 h</t>
  </si>
  <si>
    <t>010 - LEON</t>
  </si>
  <si>
    <t>02/03 - 16:25 h a 04/03 - 14:45 h</t>
  </si>
  <si>
    <t>011 - STAR JAPAN</t>
  </si>
  <si>
    <t>09/03 - 06:25 h a 11/03 - 13:15 h</t>
  </si>
  <si>
    <t>012 - CITRIODORA</t>
  </si>
  <si>
    <t>20/03 - 16:00 h a 24/03 - 06:10 h</t>
  </si>
  <si>
    <t>maio/20 a abril/21</t>
  </si>
  <si>
    <t>013 - PREDATOR</t>
  </si>
  <si>
    <t>29/03 - 04:10 h a 31/03 - 24:00 h</t>
  </si>
  <si>
    <t>01/04 - 00:00 h a 06/04 - 18:40 h</t>
  </si>
  <si>
    <t>014 - INOI</t>
  </si>
  <si>
    <t>BARRILHA e ULEXITA A GRANEL</t>
  </si>
  <si>
    <t>06/04 - 20:25 h a 10/04 - 22:35 h</t>
  </si>
  <si>
    <t>015 - SYMPHONY</t>
  </si>
  <si>
    <t>11/04 - 07:02 h a 16/04 - 07:15 h</t>
  </si>
  <si>
    <t>016 - ISOLDANA</t>
  </si>
  <si>
    <t>17/04 - 08:40 h a 21/04 - 18:00 h</t>
  </si>
  <si>
    <t>017 - ADEL I</t>
  </si>
  <si>
    <t>ANIMAIS VIVOS BOVINOS</t>
  </si>
  <si>
    <t>21/04 - 19:45 h a 23/04 - 22:20 h</t>
  </si>
  <si>
    <t>018 - FAGELGRACHT</t>
  </si>
  <si>
    <t>24/04 - 01:15 h a 25/04 - 09:08 h</t>
  </si>
  <si>
    <t>019 - STAR LIVORNO</t>
  </si>
  <si>
    <t>25/04 - 11:55 h a 29/04 - 12:15 h</t>
  </si>
  <si>
    <t>020 - KAI XUAN</t>
  </si>
  <si>
    <t>29/04 - 14:00 h a 30/04 - 24:00 h</t>
  </si>
  <si>
    <t>contrato de passagem</t>
  </si>
  <si>
    <t>-</t>
  </si>
  <si>
    <t>junho/20 a maio/21</t>
  </si>
  <si>
    <t>01/05 - 00:00 h a 05/05 - 13:15 h</t>
  </si>
  <si>
    <t>021 - ITALIAN BULKER</t>
  </si>
  <si>
    <t>26/05 - 06:37 h a 29/05 - 21:24 h</t>
  </si>
  <si>
    <t>022 - FAGELGRACHT</t>
  </si>
  <si>
    <t>30/05 - 00:05 h a 30/05 - 23:00 h</t>
  </si>
  <si>
    <t>023 - SAGA JOURNEY</t>
  </si>
  <si>
    <t>31/05 - 06:00 h a 31/05 - 24:00 h</t>
  </si>
  <si>
    <t>julho/20 a junho/21</t>
  </si>
  <si>
    <t>TABELAS</t>
  </si>
  <si>
    <t>NF</t>
  </si>
  <si>
    <t>RPS</t>
  </si>
  <si>
    <t>DATA</t>
  </si>
  <si>
    <t>TOMADOR DE SERVIÇOS</t>
  </si>
  <si>
    <t>I</t>
  </si>
  <si>
    <t>II</t>
  </si>
  <si>
    <t>III</t>
  </si>
  <si>
    <t>V</t>
  </si>
  <si>
    <t>TOTAL NF</t>
  </si>
  <si>
    <t>NAVIO</t>
  </si>
  <si>
    <t>TRIAINA</t>
  </si>
  <si>
    <t>DEEPSEA</t>
  </si>
  <si>
    <t>CECMAR</t>
  </si>
  <si>
    <t>CANCELADA</t>
  </si>
  <si>
    <t>apoio portuário - EAGLE PASSOS</t>
  </si>
  <si>
    <t>PRONAVE</t>
  </si>
  <si>
    <t>TSS</t>
  </si>
  <si>
    <t>PROPORTO</t>
  </si>
  <si>
    <t>apoio portuário - RIO 2016</t>
  </si>
  <si>
    <t>apoio portuário - BARU SIRIUS</t>
  </si>
  <si>
    <t>TRANSPMAR</t>
  </si>
  <si>
    <t>apoio portuário - EAGLE PARAÍBA</t>
  </si>
  <si>
    <t>apoio portuário - EAGLE PARAÍSO</t>
  </si>
  <si>
    <t>PETROLEO BRASILEIRO</t>
  </si>
  <si>
    <t>apoio portuário - RIO GRANDE</t>
  </si>
  <si>
    <t>apoio portuário - SÃO LUIZ</t>
  </si>
  <si>
    <t>apoio portuário</t>
  </si>
  <si>
    <t>acesso+fundeio - nav-tanque</t>
  </si>
  <si>
    <t>EQUIP. PRÓPRIOS + USO BOX</t>
  </si>
  <si>
    <t>NAVIOS - CAIS COMERCIAL</t>
  </si>
  <si>
    <t>NAVIOS TURISMO</t>
  </si>
  <si>
    <t>01/06 - 00:00 h a 02/06 - 10:40 h</t>
  </si>
  <si>
    <t>024 - HARDANGER</t>
  </si>
  <si>
    <t>12/06 - 17:02 h a 16/06 - 06:50 h</t>
  </si>
  <si>
    <t>025 - BEN RINNES</t>
  </si>
  <si>
    <t>16/06 - 09:00 h a 18/06 - 21:15 h</t>
  </si>
  <si>
    <t>026 - BANDURA</t>
  </si>
  <si>
    <t>27/06 - 09:00 h a 30/06 - 14:00 h</t>
  </si>
  <si>
    <t>agosto/20 a julho/21</t>
  </si>
  <si>
    <t>TABELA VII</t>
  </si>
  <si>
    <t>Presença de carga no SISCOMEX</t>
  </si>
  <si>
    <t>VII</t>
  </si>
  <si>
    <t>VIII</t>
  </si>
  <si>
    <t>apoio portuário - EAGLE PARANÁ</t>
  </si>
  <si>
    <t>WILSON SONS SERV. MAR.</t>
  </si>
  <si>
    <t>apoio portuário - MADRE DE DEUS</t>
  </si>
  <si>
    <t>IX</t>
  </si>
  <si>
    <t>027 - GREAT WOODS</t>
  </si>
  <si>
    <t>028 - HOSANGER</t>
  </si>
  <si>
    <t>02/07 - 09:05 h a 05/07 - 18:50 h</t>
  </si>
  <si>
    <t>06/07 - 13:00 h a 10/07 - 06:00 h</t>
  </si>
  <si>
    <t>029 - PAGONA</t>
  </si>
  <si>
    <t>27/07 - 06:13 h a 31/07 - 24:00 h</t>
  </si>
  <si>
    <t>setembro/20 a agosto/21</t>
  </si>
  <si>
    <t>apoio portuário - SÃO SEBASTIÃO</t>
  </si>
  <si>
    <t>RAIZEN</t>
  </si>
  <si>
    <t>GUDE GUDE</t>
  </si>
  <si>
    <t>apoio portuário - SYNNOVE KNUTSEN</t>
  </si>
  <si>
    <t>PARTICIPAÇÃO NA RECEITA GERAL</t>
  </si>
  <si>
    <t>TABELA VIII</t>
  </si>
  <si>
    <t>TABELA IX</t>
  </si>
  <si>
    <t>Guarda de equipamentos próprios + box</t>
  </si>
  <si>
    <t>TAB VII - diversos padron.</t>
  </si>
  <si>
    <t>TAB VIII - uso temporário</t>
  </si>
  <si>
    <t>TAB IX - complementares</t>
  </si>
  <si>
    <t>TAB V - armazenagem</t>
  </si>
  <si>
    <t>01/08 - 00:00 h a 02/08 - 06:15 h</t>
  </si>
  <si>
    <t>030 - ANNA MARIA</t>
  </si>
  <si>
    <t>02/08 - 09:00 h a 04/08 - 00:35 h</t>
  </si>
  <si>
    <t>031 - STAR ISMENE</t>
  </si>
  <si>
    <t>06/08 - 17:50 h a 07/08 - 23:10 h</t>
  </si>
  <si>
    <t>032 - SAGA JANDAIA</t>
  </si>
  <si>
    <t>21/08 - 01:40 h a 25/08 - 09:35 h</t>
  </si>
  <si>
    <t>033 - PIRIN</t>
  </si>
  <si>
    <t>25/08 - 12:30 h a 31/08 - 24:00 h</t>
  </si>
  <si>
    <t>outubro/20 a setembro/21</t>
  </si>
  <si>
    <t>G PIEROTTI</t>
  </si>
  <si>
    <t>TAB V III- OLFAR - contrato de passagem</t>
  </si>
  <si>
    <t>KEILA MUNIZ</t>
  </si>
  <si>
    <t xml:space="preserve">GUDE GUDE </t>
  </si>
  <si>
    <t>CONE SUL</t>
  </si>
  <si>
    <t>PORTOBRAS</t>
  </si>
  <si>
    <t xml:space="preserve"> -   </t>
  </si>
  <si>
    <t>01/09 - 00:00 h a 03/09 - 11:20 h</t>
  </si>
  <si>
    <t>034 - UNI HORIZON</t>
  </si>
  <si>
    <t>03/09 - 13:25 h a 04/09 - 09:50 h</t>
  </si>
  <si>
    <t>035 - SAGA WIND</t>
  </si>
  <si>
    <t>04/09 - 15:00 h a 07/09 - 13:20 h</t>
  </si>
  <si>
    <t>036 - ONEGO MAAS</t>
  </si>
  <si>
    <t>23/09 - 19:01 h a 25/09 - 11:10 h</t>
  </si>
  <si>
    <t>037 - ISOLDANA</t>
  </si>
  <si>
    <t>29/09 - 16:05 h a 30/09 - 24:00 h</t>
  </si>
  <si>
    <t>apoio portuário - FORTALEZA KNUTSEN</t>
  </si>
  <si>
    <t>OLFAR</t>
  </si>
  <si>
    <t>apoio portuário - RECIFE KNUTSEN</t>
  </si>
  <si>
    <t>apoio portuário - STENA PROGRESS</t>
  </si>
  <si>
    <t>apoio portuário - BRASIL 2014</t>
  </si>
  <si>
    <t>TAB V - armazenagem sacas de acucar</t>
  </si>
  <si>
    <t>OPEN SEA</t>
  </si>
  <si>
    <t>01/10 - 00:00 h a 02/10 - 09:20 h</t>
  </si>
  <si>
    <t>038 - STAR DALMATIA</t>
  </si>
  <si>
    <t>07/10 - 19:10 h a 15/10 - 10:20 h</t>
  </si>
  <si>
    <t>039 - SAN</t>
  </si>
  <si>
    <t>18/10 - 08:20 h a 21/10 - 12:59 h</t>
  </si>
  <si>
    <t>040 - JACAMAR ARROW</t>
  </si>
  <si>
    <t>26/10 - 08:10 h a 29/10 - 19:15 h</t>
  </si>
  <si>
    <t>041 - HALKI</t>
  </si>
  <si>
    <t>29/10 - 22:00 h a 31/10 - 13:25 h</t>
  </si>
  <si>
    <t>novembro/20 a outubro/21</t>
  </si>
  <si>
    <t>dezembro/20 a novembro/21</t>
  </si>
  <si>
    <t>Produtos Movimentados novembro/21</t>
  </si>
  <si>
    <t>arrendamento - TPUR</t>
  </si>
  <si>
    <t>RECEITA PATRIMONIAL</t>
  </si>
  <si>
    <t xml:space="preserve">AQUARIUS </t>
  </si>
  <si>
    <t>apoio portuário - rebocadores</t>
  </si>
  <si>
    <t>apoio portuário - navios TRANSPETRO</t>
  </si>
  <si>
    <t>apoio portuário - AMAZON VICTORY</t>
  </si>
  <si>
    <t>apoio marítimo - BARU SIRIUS</t>
  </si>
  <si>
    <t>WILSON SONS SHIPPING</t>
  </si>
  <si>
    <t>apoio portuário - ELKA PARANÁ</t>
  </si>
  <si>
    <t>retirada de acúcar do armazém</t>
  </si>
  <si>
    <t>WILSON SONS</t>
  </si>
  <si>
    <t>apoio portuário - MAESK CYPRUS</t>
  </si>
  <si>
    <t>apoio portuário - STENA PERROS</t>
  </si>
  <si>
    <t>apoio marítimo</t>
  </si>
  <si>
    <t>CONTRATO DE PASSAGEM</t>
  </si>
  <si>
    <t xml:space="preserve">   </t>
  </si>
  <si>
    <t>Receita Econômica NOVEMBRO/21</t>
  </si>
  <si>
    <t>042 - DAIWAN CHAMPION</t>
  </si>
  <si>
    <t>043 - STAR KILIMANJARO</t>
  </si>
  <si>
    <t>044 - OSAKANA</t>
  </si>
  <si>
    <t>15/11 - 11:30 h a 18/11 - 08:20 h</t>
  </si>
  <si>
    <t>12/11 - 06:05 h a 15/11 - 03:40 h</t>
  </si>
  <si>
    <t>03/11 - 07:25 h a 08/11 - 08:37 h</t>
  </si>
  <si>
    <t>045 - IVORY GULL</t>
  </si>
  <si>
    <t>18/11 - 10:15 h a 24/11 - 15:20 h</t>
  </si>
  <si>
    <t>046 - POLARES 2</t>
  </si>
  <si>
    <t>29/11 - 06:10 a 30/11 - 24:00 h</t>
  </si>
  <si>
    <t>novembro</t>
  </si>
  <si>
    <t>PHOSFATO DE AMÔNIA</t>
  </si>
  <si>
    <t>janeiro/21 a dezembro/21</t>
  </si>
  <si>
    <t>Phosfato de amônia</t>
  </si>
  <si>
    <t>Produtos Movimentados dezembro/21</t>
  </si>
  <si>
    <t>Produtos Movimentados dezembro/20</t>
  </si>
  <si>
    <t>Mov. últimos 12 mesesm janeiro/21 a dezembro/21</t>
  </si>
  <si>
    <t>NOTAS FISCAIS EMITIDAS EM DEZEMBRO 2021</t>
  </si>
  <si>
    <t>TAB I e III  - Navio POLARIS 2  - gado vivo</t>
  </si>
  <si>
    <t>TAB II  - Navio POLARIS  2- gado vivo</t>
  </si>
  <si>
    <t>apoio portuário - navio POLARIS 2</t>
  </si>
  <si>
    <t>TAB VII - navio POLARIS 2 - presença de carga</t>
  </si>
  <si>
    <t>navios turismo - COSTA FASCINOSA - 02/12/2021</t>
  </si>
  <si>
    <t>apoio portuário - COSTA FASCINOSA</t>
  </si>
  <si>
    <t>apoio portuário - diversos</t>
  </si>
  <si>
    <t>WILSON SONS SERVIÇOS</t>
  </si>
  <si>
    <t>apoio portuário - navio Joyce</t>
  </si>
  <si>
    <t>apoio portuário - Polaris 2</t>
  </si>
  <si>
    <t>apoio portuário - EAGLE PETROLINA</t>
  </si>
  <si>
    <t>apoio portuário - EAGLE PAULINIA</t>
  </si>
  <si>
    <t>apoio portuário - OCEAN SPIRIT</t>
  </si>
  <si>
    <t>apoio portuário - ANGRA DOS REIS</t>
  </si>
  <si>
    <t>TAB I e III - navio NORDIC DUBAI - barrilha a granel</t>
  </si>
  <si>
    <t>TAB II - navio NORDIC DUBAI - barrilha a granel</t>
  </si>
  <si>
    <t>apoio portuário - NORDIC DUBAI</t>
  </si>
  <si>
    <t>CONTINENTAL</t>
  </si>
  <si>
    <t>TAB VII - navio NORDIC DUBAI - barrilha a granel</t>
  </si>
  <si>
    <t>apoio portuário - WS CREATOR</t>
  </si>
  <si>
    <t>TAB V - NORDIC DUBAI - barrilha a granel  - 1º per (03/12 a 12/12)</t>
  </si>
  <si>
    <t>guarda de equipamentos próprios</t>
  </si>
  <si>
    <t>navios turismo - COSTA FASCINOSA - 04/12/2021</t>
  </si>
  <si>
    <t>apoio portuário - ELANDRA PILLOW</t>
  </si>
  <si>
    <t>apoio portuário - AMAZON VIRTUE</t>
  </si>
  <si>
    <t xml:space="preserve">apoio portuário - ANFA </t>
  </si>
  <si>
    <t>apoio portuário -JOAO CANDIDO</t>
  </si>
  <si>
    <t>TAB V - GREAT WOODS  - barrilha a granel  - 8 º período</t>
  </si>
  <si>
    <t>TAB V - JACAMAR ARROW  - barrilha a granel  - 4 º período</t>
  </si>
  <si>
    <t>OVERSEAS</t>
  </si>
  <si>
    <t>navios turismo - MSC PRESCIOZA - 06/12/2021</t>
  </si>
  <si>
    <t xml:space="preserve">apoio portuário - navio SÃO LUIZ </t>
  </si>
  <si>
    <t>TAB I - FUNDEIO  - navio POLARES  - GADO VIVO</t>
  </si>
  <si>
    <t>TAB II - navio IONIC HALO - silicato de vidro</t>
  </si>
  <si>
    <t>TAB I - navio IONIC HALO - silicato de vidro</t>
  </si>
  <si>
    <t>acesso e fundeio - TEBAR  - novembro/ 2021</t>
  </si>
  <si>
    <t>TAB III - navio IONIC HALO - silicato de vidro</t>
  </si>
  <si>
    <t>TAB VII- IONIC HALO - presença de carga</t>
  </si>
  <si>
    <t>apoio portuário - JOAO CANDIDO</t>
  </si>
  <si>
    <t>TAB II - POLARIS 2 - gado vivo</t>
  </si>
  <si>
    <t xml:space="preserve">PRONAVE </t>
  </si>
  <si>
    <t>TAB I e III - POLARIS 2 - gado vivo</t>
  </si>
  <si>
    <t>apoio portuário - POLARIS 2</t>
  </si>
  <si>
    <t>TAB V - SAGA JANDAIA - barrilha a granel - 11º período</t>
  </si>
  <si>
    <t>apoio portuário - navio PORTINARI</t>
  </si>
  <si>
    <t>navios turismo - COSTA FASCINOSA - 08/12/2021</t>
  </si>
  <si>
    <t>TAB I - MESSINIAN SPIRE - fosfato monoamonico</t>
  </si>
  <si>
    <t>apoio portuário - FALCON IRIS</t>
  </si>
  <si>
    <t>TAB II - MESSINIAN SPIRE - fosfato monoamonico</t>
  </si>
  <si>
    <t>TAB III - MESSINIAN SPIRE - fosfato monoamonico</t>
  </si>
  <si>
    <t>apoio portuário - MESSIANI SPIRIT</t>
  </si>
  <si>
    <t xml:space="preserve">apoio portuário - rebocadores </t>
  </si>
  <si>
    <t xml:space="preserve"> apoio portuário - MILTON SANTOS/PORTINARI </t>
  </si>
  <si>
    <t>navios turismo - COSTA FASCINOSA - 10/12/2021</t>
  </si>
  <si>
    <t>YARA</t>
  </si>
  <si>
    <t>TAB V - MESSINIAN SPIRE -fosfato monoamonico - 1º período</t>
  </si>
  <si>
    <t>apoio portuário - REB. URANUS</t>
  </si>
  <si>
    <t xml:space="preserve">apoio portuário - MISSINIAN SPIRIT </t>
  </si>
  <si>
    <t>TAB V - JACAMAR ARROW - barrilha a granel - 5º período</t>
  </si>
  <si>
    <t>TAB V - NORD DUBAI - barrilha a granel - 2º período</t>
  </si>
  <si>
    <t xml:space="preserve"> apoio portuário - STENA PERROS </t>
  </si>
  <si>
    <t xml:space="preserve"> apoio portuário - navio ALHENA </t>
  </si>
  <si>
    <t xml:space="preserve"> apoio portuário - RIO SPIRIT </t>
  </si>
  <si>
    <t>navios turismo - COSTA FASCINOSA - 18/12/2021</t>
  </si>
  <si>
    <t>apoio portuário - ELANDRA MAPLE</t>
  </si>
  <si>
    <t>TAB V - SAGA JANDAIA - barrilha a granel - 12º período</t>
  </si>
  <si>
    <t>apoio portuário - navio CRATER</t>
  </si>
  <si>
    <t xml:space="preserve">apoio portuário - RIO GRANDE </t>
  </si>
  <si>
    <t>apoio portuário - navio ALHENA</t>
  </si>
  <si>
    <t>apoio portuário - NAVE ATRIA</t>
  </si>
  <si>
    <t>apoio portuário - MAERSK CYPRUS</t>
  </si>
  <si>
    <t>TAB I - acesso e fundeio - NAVIO ALHENA</t>
  </si>
  <si>
    <t>WILSON SONS SHIPPING SERV.</t>
  </si>
  <si>
    <t>navios turismo - MSC SPLENDIDA - 23/12/2021</t>
  </si>
  <si>
    <t>apoio portuário - REB. CRATER</t>
  </si>
  <si>
    <t xml:space="preserve">apoio portuário - MSC SPLENDIDA </t>
  </si>
  <si>
    <t>apoio portuário - navio ATRIA</t>
  </si>
  <si>
    <t>TRANSPETRO</t>
  </si>
  <si>
    <t>apoio portuário - MARE DORIWN</t>
  </si>
  <si>
    <t>TAB V - JACAMAR ARROW -  fosfato amonico- 6º período</t>
  </si>
  <si>
    <t>TAB V - MESSINIAN SPIRE -  fosfato amonico - 2º período</t>
  </si>
  <si>
    <t>TAB V - MESSINIAN SPIRE -  barrilha a granel - 2º período</t>
  </si>
  <si>
    <t>TAB V - SAGA JANDAIA -  barrilha a granel - 13º período</t>
  </si>
  <si>
    <t>apoio portuário - AURORA</t>
  </si>
  <si>
    <t>apoio portuário - navio ALBA</t>
  </si>
  <si>
    <t>apoio portuário - navio AURORA</t>
  </si>
  <si>
    <t>apoio portuário - OCEAN ELECTRA</t>
  </si>
  <si>
    <t>apoio portuário ANGRA DOS REIS</t>
  </si>
  <si>
    <t>apoio portuário - DAN CISNE</t>
  </si>
  <si>
    <t>apoio portuário DIAMOND T e ALHENA</t>
  </si>
  <si>
    <t>apoio portuário EAGLE PARAÍSO</t>
  </si>
  <si>
    <t>apoio portuário EAGLE PARAÍBA</t>
  </si>
  <si>
    <t>apoio portuário FALCON SEXTAN e DAN CISNE</t>
  </si>
  <si>
    <t>apoio portuário - navios tanque 27 a 31/12/21</t>
  </si>
  <si>
    <t>apoio portuário - PORTO VALE V</t>
  </si>
  <si>
    <t>SAGA SPRAY - barrilha a granel</t>
  </si>
  <si>
    <t>apoio portuário - SAGA SPRAY</t>
  </si>
  <si>
    <t>TOTAIS POR TABELA</t>
  </si>
  <si>
    <t>Receita Econômica DEZEMBRO/21</t>
  </si>
  <si>
    <t>Receita Econômica DEZEMBRO/20</t>
  </si>
  <si>
    <t>Receita últimos 12 meses JANEIRO/21 a DEZEMBRO/21</t>
  </si>
  <si>
    <t>01/12 - 00:00  a 01/12 - 13:35 h</t>
  </si>
  <si>
    <t>047 - NORD DUBAI</t>
  </si>
  <si>
    <t>01/12 - 16:00 h a 05/12 - 23:35 h</t>
  </si>
  <si>
    <t>048 - IONIC HALO</t>
  </si>
  <si>
    <t>06/12 - 01:30 h a 08/12 - 20:20 h</t>
  </si>
  <si>
    <t>049 - POLARES 2</t>
  </si>
  <si>
    <t>08/12 - 22:50 h a 09/12 - 18:35 h</t>
  </si>
  <si>
    <t>050 - MESSINIAN SPIRE</t>
  </si>
  <si>
    <t>FOSFATO MONOAMÔNICO</t>
  </si>
  <si>
    <t>09/12 - 21:30 h a 11/12 - 18:15 h</t>
  </si>
  <si>
    <t>051 - SAGA SPRAY</t>
  </si>
  <si>
    <t>27/12 - 19:05 h a 31/12 - 24:00 h</t>
  </si>
  <si>
    <t>CAIS COMERCIAL  Mês:  DEZEMBRO/21</t>
  </si>
  <si>
    <t>dezembro</t>
  </si>
  <si>
    <t xml:space="preserve">Produtos Movimentados em 2021 </t>
  </si>
  <si>
    <t xml:space="preserve">Receita Econômica 2021 </t>
  </si>
</sst>
</file>

<file path=xl/styles.xml><?xml version="1.0" encoding="utf-8"?>
<styleSheet xmlns="http://schemas.openxmlformats.org/spreadsheetml/2006/main">
  <numFmts count="6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_(* #,##0.000_);_(* \(#,##0.000\);_(* &quot;-&quot;??_);_(@_)"/>
    <numFmt numFmtId="183" formatCode="_(* #,##0_);_(* \(#,##0\);_(* &quot;-&quot;??_);_(@_)"/>
    <numFmt numFmtId="184" formatCode="#,##0.000"/>
    <numFmt numFmtId="185" formatCode="_(* #,##0.000_);_(* \(#,##0.000\);_(* &quot;-&quot;???_);_(@_)"/>
    <numFmt numFmtId="186" formatCode="#,##0.000_);\(#,##0.000\)"/>
    <numFmt numFmtId="187" formatCode="_-* #,##0.000\ _€_-;\-* #,##0.000\ _€_-;_-* &quot;-&quot;???\ _€_-;_-@_-"/>
    <numFmt numFmtId="188" formatCode="[$-816]dddd\,\ d&quot; de &quot;mmmm&quot; de &quot;yyyy"/>
    <numFmt numFmtId="189" formatCode="0.0"/>
    <numFmt numFmtId="190" formatCode="_(* #,##0.0_);_(* \(#,##0.0\);_(* &quot;-&quot;??_);_(@_)"/>
    <numFmt numFmtId="191" formatCode="[$-416]dddd\,\ d&quot; de &quot;mmmm&quot; de &quot;yyyy"/>
    <numFmt numFmtId="192" formatCode="[$-F400]h:mm:ss\ AM/PM"/>
    <numFmt numFmtId="193" formatCode="_-* #,##0.000_-;\-* #,##0.000_-;_-* &quot;-&quot;???_-;_-@_-"/>
    <numFmt numFmtId="194" formatCode="dd\-mmm\-yy"/>
    <numFmt numFmtId="195" formatCode="0.0000"/>
    <numFmt numFmtId="196" formatCode="_-* #,##0.00000\ _€_-;\-* #,##0.00000\ _€_-;_-* &quot;-&quot;???\ _€_-;_-@_-"/>
    <numFmt numFmtId="197" formatCode="_-* #,##0.0000\ _€_-;\-* #,##0.0000\ _€_-;_-* &quot;-&quot;???\ _€_-;_-@_-"/>
    <numFmt numFmtId="198" formatCode="_(* #,##0.0000_);_(* \(#,##0.0000\);_(* &quot;-&quot;???_);_(@_)"/>
    <numFmt numFmtId="199" formatCode="_(* #,##0.0000_);_(* \(#,##0.000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0.00000"/>
    <numFmt numFmtId="203" formatCode="_-[$R$-416]\ * #,##0.00_-;\-[$R$-416]\ * #,##0.00_-;_-[$R$-416]\ 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_-;\-* #,##0_-;_-* &quot;-&quot;??_-;_-@_-"/>
    <numFmt numFmtId="207" formatCode="0.000%"/>
    <numFmt numFmtId="208" formatCode="0.000"/>
    <numFmt numFmtId="209" formatCode="0.000000"/>
    <numFmt numFmtId="210" formatCode="0.0000000"/>
    <numFmt numFmtId="211" formatCode="0.00000000"/>
    <numFmt numFmtId="212" formatCode="0.0%"/>
    <numFmt numFmtId="213" formatCode="#,##0.0"/>
    <numFmt numFmtId="214" formatCode="_-&quot;R$&quot;\ * #,##0.000_-;\-&quot;R$&quot;\ * #,##0.000_-;_-&quot;R$&quot;\ * &quot;-&quot;??_-;_-@_-"/>
    <numFmt numFmtId="215" formatCode="_-&quot;R$&quot;\ * #,##0.000_-;\-&quot;R$&quot;\ * #,##0.000_-;_-&quot;R$&quot;\ * &quot;-&quot;???_-;_-@_-"/>
    <numFmt numFmtId="216" formatCode="&quot;R$&quot;\ #,##0.00"/>
    <numFmt numFmtId="217" formatCode="_-&quot;R$&quot;\ * #,##0.0_-;\-&quot;R$&quot;\ * #,##0.0_-;_-&quot;R$&quot;\ * &quot;-&quot;??_-;_-@_-"/>
    <numFmt numFmtId="218" formatCode="_-&quot;R$&quot;\ * #,##0_-;\-&quot;R$&quot;\ * #,##0_-;_-&quot;R$&quot;\ * &quot;-&quot;??_-;_-@_-"/>
    <numFmt numFmtId="219" formatCode="0.0000000000"/>
    <numFmt numFmtId="220" formatCode="0.000000000"/>
    <numFmt numFmtId="221" formatCode="_(* #,##0.00000_);_(* \(#,##0.00000\);_(* &quot;-&quot;??_);_(@_)"/>
    <numFmt numFmtId="222" formatCode="dd/mm/yy;@"/>
    <numFmt numFmtId="223" formatCode="_-* #,##0.0_-;\-* #,##0.0_-;_-* &quot;-&quot;??_-;_-@_-"/>
    <numFmt numFmtId="224" formatCode="00000"/>
  </numFmts>
  <fonts count="10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15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2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Narrow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8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u val="single"/>
      <sz val="14"/>
      <color indexed="8"/>
      <name val="Calibri"/>
      <family val="2"/>
    </font>
    <font>
      <sz val="12"/>
      <color indexed="8"/>
      <name val="Arial Narrow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Arial Narrow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8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u val="single"/>
      <sz val="14"/>
      <color theme="1"/>
      <name val="Calibri"/>
      <family val="2"/>
    </font>
    <font>
      <sz val="12"/>
      <color theme="1"/>
      <name val="Arial Narrow"/>
      <family val="2"/>
    </font>
    <font>
      <b/>
      <sz val="16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18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theme="2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</cellStyleXfs>
  <cellXfs count="6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84" fontId="1" fillId="0" borderId="12" xfId="0" applyNumberFormat="1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84" fontId="1" fillId="0" borderId="10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182" fontId="0" fillId="0" borderId="17" xfId="51" applyNumberFormat="1" applyFont="1" applyBorder="1" applyAlignment="1">
      <alignment horizontal="right"/>
    </xf>
    <xf numFmtId="182" fontId="0" fillId="0" borderId="17" xfId="0" applyNumberFormat="1" applyFont="1" applyBorder="1" applyAlignment="1">
      <alignment horizontal="right"/>
    </xf>
    <xf numFmtId="182" fontId="0" fillId="33" borderId="17" xfId="51" applyNumberFormat="1" applyFont="1" applyFill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184" fontId="0" fillId="34" borderId="0" xfId="0" applyNumberFormat="1" applyFont="1" applyFill="1" applyBorder="1" applyAlignment="1">
      <alignment horizontal="right"/>
    </xf>
    <xf numFmtId="18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84" fontId="1" fillId="0" borderId="10" xfId="0" applyNumberFormat="1" applyFont="1" applyBorder="1" applyAlignment="1">
      <alignment horizontal="right"/>
    </xf>
    <xf numFmtId="183" fontId="0" fillId="0" borderId="17" xfId="51" applyNumberFormat="1" applyFont="1" applyBorder="1" applyAlignment="1">
      <alignment horizontal="right"/>
    </xf>
    <xf numFmtId="183" fontId="0" fillId="0" borderId="0" xfId="51" applyNumberFormat="1" applyFont="1" applyBorder="1" applyAlignment="1">
      <alignment horizontal="right"/>
    </xf>
    <xf numFmtId="182" fontId="0" fillId="0" borderId="17" xfId="0" applyNumberFormat="1" applyFont="1" applyBorder="1" applyAlignment="1">
      <alignment/>
    </xf>
    <xf numFmtId="182" fontId="0" fillId="33" borderId="17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183" fontId="0" fillId="0" borderId="17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183" fontId="0" fillId="0" borderId="21" xfId="51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2" fontId="0" fillId="0" borderId="17" xfId="51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71" fontId="0" fillId="0" borderId="17" xfId="51" applyFont="1" applyBorder="1" applyAlignment="1">
      <alignment/>
    </xf>
    <xf numFmtId="171" fontId="0" fillId="0" borderId="0" xfId="51" applyFont="1" applyBorder="1" applyAlignment="1">
      <alignment horizontal="right"/>
    </xf>
    <xf numFmtId="171" fontId="0" fillId="0" borderId="17" xfId="51" applyFont="1" applyBorder="1" applyAlignment="1">
      <alignment horizontal="right"/>
    </xf>
    <xf numFmtId="171" fontId="0" fillId="33" borderId="17" xfId="51" applyFont="1" applyFill="1" applyBorder="1" applyAlignment="1">
      <alignment horizontal="right"/>
    </xf>
    <xf numFmtId="183" fontId="0" fillId="0" borderId="17" xfId="51" applyNumberFormat="1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183" fontId="0" fillId="33" borderId="17" xfId="51" applyNumberFormat="1" applyFont="1" applyFill="1" applyBorder="1" applyAlignment="1">
      <alignment/>
    </xf>
    <xf numFmtId="183" fontId="0" fillId="33" borderId="17" xfId="51" applyNumberFormat="1" applyFont="1" applyFill="1" applyBorder="1" applyAlignment="1">
      <alignment horizontal="right"/>
    </xf>
    <xf numFmtId="37" fontId="0" fillId="0" borderId="0" xfId="51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center"/>
    </xf>
    <xf numFmtId="183" fontId="0" fillId="33" borderId="0" xfId="51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2" fontId="0" fillId="0" borderId="0" xfId="51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0" fillId="0" borderId="22" xfId="51" applyNumberFormat="1" applyFont="1" applyBorder="1" applyAlignment="1">
      <alignment horizontal="right"/>
    </xf>
    <xf numFmtId="182" fontId="0" fillId="0" borderId="23" xfId="0" applyNumberFormat="1" applyFont="1" applyBorder="1" applyAlignment="1">
      <alignment horizontal="right"/>
    </xf>
    <xf numFmtId="182" fontId="0" fillId="0" borderId="22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3" fontId="1" fillId="13" borderId="20" xfId="51" applyNumberFormat="1" applyFont="1" applyFill="1" applyBorder="1" applyAlignment="1">
      <alignment horizontal="right"/>
    </xf>
    <xf numFmtId="182" fontId="1" fillId="13" borderId="20" xfId="0" applyNumberFormat="1" applyFont="1" applyFill="1" applyBorder="1" applyAlignment="1">
      <alignment horizontal="right"/>
    </xf>
    <xf numFmtId="183" fontId="1" fillId="35" borderId="10" xfId="51" applyNumberFormat="1" applyFont="1" applyFill="1" applyBorder="1" applyAlignment="1">
      <alignment horizontal="right"/>
    </xf>
    <xf numFmtId="182" fontId="1" fillId="35" borderId="10" xfId="0" applyNumberFormat="1" applyFont="1" applyFill="1" applyBorder="1" applyAlignment="1">
      <alignment horizontal="right"/>
    </xf>
    <xf numFmtId="182" fontId="1" fillId="35" borderId="10" xfId="51" applyNumberFormat="1" applyFont="1" applyFill="1" applyBorder="1" applyAlignment="1">
      <alignment horizontal="right"/>
    </xf>
    <xf numFmtId="183" fontId="1" fillId="35" borderId="12" xfId="51" applyNumberFormat="1" applyFont="1" applyFill="1" applyBorder="1" applyAlignment="1">
      <alignment horizontal="right"/>
    </xf>
    <xf numFmtId="182" fontId="1" fillId="35" borderId="10" xfId="0" applyNumberFormat="1" applyFont="1" applyFill="1" applyBorder="1" applyAlignment="1">
      <alignment/>
    </xf>
    <xf numFmtId="182" fontId="1" fillId="35" borderId="10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71" fontId="0" fillId="0" borderId="24" xfId="5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2" fontId="10" fillId="0" borderId="0" xfId="51" applyNumberFormat="1" applyFont="1" applyAlignment="1">
      <alignment/>
    </xf>
    <xf numFmtId="171" fontId="9" fillId="0" borderId="0" xfId="0" applyNumberFormat="1" applyFont="1" applyAlignment="1">
      <alignment/>
    </xf>
    <xf numFmtId="182" fontId="7" fillId="0" borderId="10" xfId="51" applyNumberFormat="1" applyFont="1" applyFill="1" applyBorder="1" applyAlignment="1">
      <alignment/>
    </xf>
    <xf numFmtId="182" fontId="7" fillId="33" borderId="10" xfId="51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11" fillId="0" borderId="0" xfId="51" applyFont="1" applyFill="1" applyAlignment="1">
      <alignment/>
    </xf>
    <xf numFmtId="182" fontId="11" fillId="0" borderId="0" xfId="51" applyNumberFormat="1" applyFont="1" applyAlignment="1">
      <alignment/>
    </xf>
    <xf numFmtId="195" fontId="9" fillId="0" borderId="0" xfId="0" applyNumberFormat="1" applyFont="1" applyAlignment="1">
      <alignment/>
    </xf>
    <xf numFmtId="182" fontId="11" fillId="0" borderId="17" xfId="51" applyNumberFormat="1" applyFont="1" applyBorder="1" applyAlignment="1">
      <alignment/>
    </xf>
    <xf numFmtId="182" fontId="11" fillId="0" borderId="0" xfId="51" applyNumberFormat="1" applyFont="1" applyFill="1" applyAlignment="1">
      <alignment/>
    </xf>
    <xf numFmtId="196" fontId="9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8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20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89" fillId="0" borderId="0" xfId="0" applyFont="1" applyAlignment="1">
      <alignment/>
    </xf>
    <xf numFmtId="194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99" fontId="14" fillId="0" borderId="0" xfId="0" applyNumberFormat="1" applyFont="1" applyAlignment="1">
      <alignment/>
    </xf>
    <xf numFmtId="171" fontId="15" fillId="0" borderId="0" xfId="51" applyNumberFormat="1" applyFont="1" applyBorder="1" applyAlignment="1">
      <alignment horizontal="left" indent="1"/>
    </xf>
    <xf numFmtId="200" fontId="14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201" fontId="22" fillId="0" borderId="0" xfId="0" applyNumberFormat="1" applyFont="1" applyAlignment="1">
      <alignment/>
    </xf>
    <xf numFmtId="201" fontId="21" fillId="37" borderId="10" xfId="0" applyNumberFormat="1" applyFont="1" applyFill="1" applyBorder="1" applyAlignment="1">
      <alignment horizontal="center"/>
    </xf>
    <xf numFmtId="182" fontId="23" fillId="0" borderId="0" xfId="51" applyNumberFormat="1" applyFont="1" applyFill="1" applyAlignment="1">
      <alignment/>
    </xf>
    <xf numFmtId="182" fontId="23" fillId="13" borderId="0" xfId="51" applyNumberFormat="1" applyFont="1" applyFill="1" applyAlignment="1">
      <alignment/>
    </xf>
    <xf numFmtId="182" fontId="23" fillId="0" borderId="0" xfId="51" applyNumberFormat="1" applyFont="1" applyAlignment="1">
      <alignment/>
    </xf>
    <xf numFmtId="20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2" fontId="23" fillId="38" borderId="0" xfId="51" applyNumberFormat="1" applyFont="1" applyFill="1" applyAlignment="1">
      <alignment/>
    </xf>
    <xf numFmtId="201" fontId="23" fillId="13" borderId="0" xfId="0" applyNumberFormat="1" applyFont="1" applyFill="1" applyBorder="1" applyAlignment="1">
      <alignment horizontal="center"/>
    </xf>
    <xf numFmtId="185" fontId="23" fillId="13" borderId="0" xfId="0" applyNumberFormat="1" applyFont="1" applyFill="1" applyBorder="1" applyAlignment="1">
      <alignment horizontal="center"/>
    </xf>
    <xf numFmtId="185" fontId="23" fillId="0" borderId="0" xfId="0" applyNumberFormat="1" applyFont="1" applyFill="1" applyBorder="1" applyAlignment="1">
      <alignment horizontal="center"/>
    </xf>
    <xf numFmtId="182" fontId="23" fillId="0" borderId="0" xfId="51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7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82" fontId="11" fillId="0" borderId="10" xfId="51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171" fontId="11" fillId="0" borderId="10" xfId="51" applyFont="1" applyFill="1" applyBorder="1" applyAlignment="1">
      <alignment horizontal="right"/>
    </xf>
    <xf numFmtId="0" fontId="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4" fillId="35" borderId="10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4" fontId="20" fillId="16" borderId="23" xfId="0" applyNumberFormat="1" applyFont="1" applyFill="1" applyBorder="1" applyAlignment="1">
      <alignment horizontal="center"/>
    </xf>
    <xf numFmtId="4" fontId="20" fillId="16" borderId="17" xfId="0" applyNumberFormat="1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4" fontId="20" fillId="16" borderId="14" xfId="0" applyNumberFormat="1" applyFont="1" applyFill="1" applyBorder="1" applyAlignment="1">
      <alignment horizontal="center"/>
    </xf>
    <xf numFmtId="4" fontId="20" fillId="16" borderId="21" xfId="0" applyNumberFormat="1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4" fontId="0" fillId="0" borderId="0" xfId="0" applyNumberFormat="1" applyAlignment="1">
      <alignment/>
    </xf>
    <xf numFmtId="201" fontId="0" fillId="0" borderId="0" xfId="0" applyNumberFormat="1" applyFont="1" applyAlignment="1">
      <alignment/>
    </xf>
    <xf numFmtId="0" fontId="88" fillId="0" borderId="0" xfId="0" applyFont="1" applyAlignment="1">
      <alignment/>
    </xf>
    <xf numFmtId="187" fontId="0" fillId="0" borderId="0" xfId="0" applyNumberFormat="1" applyAlignment="1">
      <alignment/>
    </xf>
    <xf numFmtId="0" fontId="90" fillId="0" borderId="0" xfId="0" applyFont="1" applyAlignment="1">
      <alignment/>
    </xf>
    <xf numFmtId="0" fontId="88" fillId="7" borderId="26" xfId="0" applyFont="1" applyFill="1" applyBorder="1" applyAlignment="1">
      <alignment/>
    </xf>
    <xf numFmtId="0" fontId="91" fillId="0" borderId="0" xfId="0" applyFont="1" applyAlignment="1">
      <alignment/>
    </xf>
    <xf numFmtId="0" fontId="88" fillId="38" borderId="0" xfId="0" applyFont="1" applyFill="1" applyBorder="1" applyAlignment="1">
      <alignment horizontal="center"/>
    </xf>
    <xf numFmtId="185" fontId="54" fillId="2" borderId="10" xfId="0" applyNumberFormat="1" applyFont="1" applyFill="1" applyBorder="1" applyAlignment="1">
      <alignment/>
    </xf>
    <xf numFmtId="0" fontId="27" fillId="2" borderId="10" xfId="0" applyFont="1" applyFill="1" applyBorder="1" applyAlignment="1">
      <alignment/>
    </xf>
    <xf numFmtId="185" fontId="54" fillId="13" borderId="10" xfId="0" applyNumberFormat="1" applyFont="1" applyFill="1" applyBorder="1" applyAlignment="1">
      <alignment/>
    </xf>
    <xf numFmtId="0" fontId="27" fillId="13" borderId="10" xfId="0" applyFont="1" applyFill="1" applyBorder="1" applyAlignment="1">
      <alignment/>
    </xf>
    <xf numFmtId="185" fontId="0" fillId="0" borderId="0" xfId="0" applyNumberFormat="1" applyAlignment="1">
      <alignment/>
    </xf>
    <xf numFmtId="0" fontId="10" fillId="7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184" fontId="27" fillId="7" borderId="20" xfId="0" applyNumberFormat="1" applyFont="1" applyFill="1" applyBorder="1" applyAlignment="1">
      <alignment/>
    </xf>
    <xf numFmtId="171" fontId="72" fillId="0" borderId="0" xfId="51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88" fillId="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182" fontId="28" fillId="0" borderId="0" xfId="51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" fontId="92" fillId="39" borderId="10" xfId="0" applyNumberFormat="1" applyFont="1" applyFill="1" applyBorder="1" applyAlignment="1">
      <alignment/>
    </xf>
    <xf numFmtId="0" fontId="27" fillId="39" borderId="10" xfId="0" applyFont="1" applyFill="1" applyBorder="1" applyAlignment="1">
      <alignment/>
    </xf>
    <xf numFmtId="4" fontId="27" fillId="4" borderId="10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171" fontId="28" fillId="0" borderId="10" xfId="51" applyNumberFormat="1" applyFont="1" applyBorder="1" applyAlignment="1">
      <alignment/>
    </xf>
    <xf numFmtId="171" fontId="28" fillId="0" borderId="10" xfId="51" applyFont="1" applyBorder="1" applyAlignment="1">
      <alignment horizontal="center"/>
    </xf>
    <xf numFmtId="44" fontId="93" fillId="16" borderId="10" xfId="0" applyNumberFormat="1" applyFont="1" applyFill="1" applyBorder="1" applyAlignment="1">
      <alignment/>
    </xf>
    <xf numFmtId="0" fontId="93" fillId="16" borderId="10" xfId="0" applyFont="1" applyFill="1" applyBorder="1" applyAlignment="1">
      <alignment horizontal="right"/>
    </xf>
    <xf numFmtId="44" fontId="93" fillId="7" borderId="15" xfId="45" applyNumberFormat="1" applyFont="1" applyFill="1" applyBorder="1" applyAlignment="1">
      <alignment/>
    </xf>
    <xf numFmtId="0" fontId="94" fillId="0" borderId="10" xfId="0" applyFont="1" applyBorder="1" applyAlignment="1">
      <alignment horizontal="center"/>
    </xf>
    <xf numFmtId="204" fontId="93" fillId="16" borderId="10" xfId="51" applyNumberFormat="1" applyFont="1" applyFill="1" applyBorder="1" applyAlignment="1">
      <alignment/>
    </xf>
    <xf numFmtId="205" fontId="91" fillId="0" borderId="0" xfId="51" applyNumberFormat="1" applyFont="1" applyAlignment="1">
      <alignment/>
    </xf>
    <xf numFmtId="0" fontId="91" fillId="7" borderId="19" xfId="0" applyFont="1" applyFill="1" applyBorder="1" applyAlignment="1">
      <alignment horizontal="center"/>
    </xf>
    <xf numFmtId="0" fontId="91" fillId="7" borderId="20" xfId="0" applyFont="1" applyFill="1" applyBorder="1" applyAlignment="1">
      <alignment/>
    </xf>
    <xf numFmtId="0" fontId="91" fillId="0" borderId="22" xfId="0" applyFont="1" applyFill="1" applyBorder="1" applyAlignment="1">
      <alignment horizontal="center"/>
    </xf>
    <xf numFmtId="0" fontId="91" fillId="0" borderId="22" xfId="0" applyFont="1" applyBorder="1" applyAlignment="1">
      <alignment horizontal="center"/>
    </xf>
    <xf numFmtId="0" fontId="91" fillId="0" borderId="17" xfId="0" applyFont="1" applyBorder="1" applyAlignment="1">
      <alignment/>
    </xf>
    <xf numFmtId="0" fontId="91" fillId="7" borderId="22" xfId="0" applyFont="1" applyFill="1" applyBorder="1" applyAlignment="1">
      <alignment horizontal="center"/>
    </xf>
    <xf numFmtId="0" fontId="91" fillId="7" borderId="17" xfId="0" applyFont="1" applyFill="1" applyBorder="1" applyAlignment="1">
      <alignment/>
    </xf>
    <xf numFmtId="0" fontId="91" fillId="7" borderId="13" xfId="0" applyFont="1" applyFill="1" applyBorder="1" applyAlignment="1">
      <alignment horizontal="center"/>
    </xf>
    <xf numFmtId="205" fontId="91" fillId="0" borderId="0" xfId="0" applyNumberFormat="1" applyFont="1" applyAlignment="1">
      <alignment/>
    </xf>
    <xf numFmtId="0" fontId="91" fillId="0" borderId="0" xfId="0" applyNumberFormat="1" applyFont="1" applyAlignment="1">
      <alignment/>
    </xf>
    <xf numFmtId="0" fontId="92" fillId="0" borderId="0" xfId="0" applyFont="1" applyAlignment="1">
      <alignment/>
    </xf>
    <xf numFmtId="17" fontId="92" fillId="0" borderId="0" xfId="0" applyNumberFormat="1" applyFont="1" applyFill="1" applyAlignment="1">
      <alignment/>
    </xf>
    <xf numFmtId="182" fontId="0" fillId="0" borderId="0" xfId="51" applyNumberFormat="1" applyFont="1" applyAlignment="1">
      <alignment/>
    </xf>
    <xf numFmtId="195" fontId="91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199" fontId="0" fillId="0" borderId="0" xfId="51" applyNumberFormat="1" applyFont="1" applyAlignment="1">
      <alignment/>
    </xf>
    <xf numFmtId="211" fontId="0" fillId="0" borderId="0" xfId="0" applyNumberFormat="1" applyAlignment="1">
      <alignment/>
    </xf>
    <xf numFmtId="10" fontId="27" fillId="0" borderId="20" xfId="0" applyNumberFormat="1" applyFont="1" applyBorder="1" applyAlignment="1">
      <alignment/>
    </xf>
    <xf numFmtId="206" fontId="91" fillId="7" borderId="14" xfId="51" applyNumberFormat="1" applyFont="1" applyFill="1" applyBorder="1" applyAlignment="1">
      <alignment horizontal="center"/>
    </xf>
    <xf numFmtId="206" fontId="91" fillId="0" borderId="23" xfId="51" applyNumberFormat="1" applyFont="1" applyBorder="1" applyAlignment="1">
      <alignment horizontal="center"/>
    </xf>
    <xf numFmtId="43" fontId="91" fillId="7" borderId="23" xfId="51" applyNumberFormat="1" applyFont="1" applyFill="1" applyBorder="1" applyAlignment="1">
      <alignment horizontal="center"/>
    </xf>
    <xf numFmtId="43" fontId="91" fillId="0" borderId="23" xfId="51" applyNumberFormat="1" applyFont="1" applyBorder="1" applyAlignment="1">
      <alignment horizontal="center"/>
    </xf>
    <xf numFmtId="204" fontId="93" fillId="7" borderId="27" xfId="51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99" fontId="14" fillId="0" borderId="0" xfId="51" applyNumberFormat="1" applyFont="1" applyAlignment="1">
      <alignment/>
    </xf>
    <xf numFmtId="195" fontId="14" fillId="0" borderId="0" xfId="0" applyNumberFormat="1" applyFont="1" applyAlignment="1">
      <alignment/>
    </xf>
    <xf numFmtId="171" fontId="90" fillId="0" borderId="0" xfId="51" applyFont="1" applyAlignment="1">
      <alignment/>
    </xf>
    <xf numFmtId="183" fontId="0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2" fontId="0" fillId="38" borderId="17" xfId="51" applyNumberFormat="1" applyFont="1" applyFill="1" applyBorder="1" applyAlignment="1">
      <alignment horizontal="right"/>
    </xf>
    <xf numFmtId="0" fontId="91" fillId="38" borderId="22" xfId="0" applyFont="1" applyFill="1" applyBorder="1" applyAlignment="1">
      <alignment horizontal="center"/>
    </xf>
    <xf numFmtId="2" fontId="91" fillId="0" borderId="0" xfId="0" applyNumberFormat="1" applyFont="1" applyAlignment="1">
      <alignment/>
    </xf>
    <xf numFmtId="193" fontId="0" fillId="0" borderId="0" xfId="0" applyNumberFormat="1" applyFont="1" applyBorder="1" applyAlignment="1">
      <alignment/>
    </xf>
    <xf numFmtId="182" fontId="11" fillId="0" borderId="0" xfId="51" applyNumberFormat="1" applyFont="1" applyBorder="1" applyAlignment="1">
      <alignment/>
    </xf>
    <xf numFmtId="10" fontId="27" fillId="0" borderId="20" xfId="0" applyNumberFormat="1" applyFont="1" applyBorder="1" applyAlignment="1">
      <alignment horizontal="right"/>
    </xf>
    <xf numFmtId="182" fontId="0" fillId="38" borderId="17" xfId="0" applyNumberFormat="1" applyFont="1" applyFill="1" applyBorder="1" applyAlignment="1">
      <alignment/>
    </xf>
    <xf numFmtId="182" fontId="0" fillId="38" borderId="17" xfId="0" applyNumberFormat="1" applyFont="1" applyFill="1" applyBorder="1" applyAlignment="1">
      <alignment horizontal="right"/>
    </xf>
    <xf numFmtId="171" fontId="0" fillId="38" borderId="0" xfId="51" applyFont="1" applyFill="1" applyBorder="1" applyAlignment="1">
      <alignment horizontal="right"/>
    </xf>
    <xf numFmtId="183" fontId="0" fillId="38" borderId="0" xfId="51" applyNumberFormat="1" applyFont="1" applyFill="1" applyBorder="1" applyAlignment="1">
      <alignment horizontal="right"/>
    </xf>
    <xf numFmtId="183" fontId="0" fillId="38" borderId="17" xfId="51" applyNumberFormat="1" applyFont="1" applyFill="1" applyBorder="1" applyAlignment="1">
      <alignment/>
    </xf>
    <xf numFmtId="208" fontId="11" fillId="0" borderId="0" xfId="0" applyNumberFormat="1" applyFont="1" applyAlignment="1">
      <alignment/>
    </xf>
    <xf numFmtId="0" fontId="93" fillId="16" borderId="10" xfId="0" applyFont="1" applyFill="1" applyBorder="1" applyAlignment="1">
      <alignment/>
    </xf>
    <xf numFmtId="216" fontId="93" fillId="16" borderId="10" xfId="0" applyNumberFormat="1" applyFont="1" applyFill="1" applyBorder="1" applyAlignment="1">
      <alignment/>
    </xf>
    <xf numFmtId="10" fontId="7" fillId="0" borderId="17" xfId="49" applyNumberFormat="1" applyFont="1" applyFill="1" applyBorder="1" applyAlignment="1">
      <alignment horizontal="right"/>
    </xf>
    <xf numFmtId="171" fontId="28" fillId="0" borderId="24" xfId="51" applyFont="1" applyFill="1" applyBorder="1" applyAlignment="1">
      <alignment/>
    </xf>
    <xf numFmtId="180" fontId="83" fillId="38" borderId="0" xfId="54" applyNumberFormat="1" applyFill="1" applyBorder="1" applyAlignment="1">
      <alignment/>
    </xf>
    <xf numFmtId="182" fontId="11" fillId="0" borderId="10" xfId="51" applyNumberFormat="1" applyFont="1" applyFill="1" applyBorder="1" applyAlignment="1">
      <alignment/>
    </xf>
    <xf numFmtId="182" fontId="28" fillId="0" borderId="10" xfId="51" applyNumberFormat="1" applyFont="1" applyBorder="1" applyAlignment="1">
      <alignment/>
    </xf>
    <xf numFmtId="182" fontId="27" fillId="7" borderId="10" xfId="0" applyNumberFormat="1" applyFont="1" applyFill="1" applyBorder="1" applyAlignment="1">
      <alignment/>
    </xf>
    <xf numFmtId="171" fontId="28" fillId="0" borderId="10" xfId="51" applyFont="1" applyBorder="1" applyAlignment="1">
      <alignment/>
    </xf>
    <xf numFmtId="205" fontId="14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43" fontId="91" fillId="0" borderId="0" xfId="0" applyNumberFormat="1" applyFont="1" applyAlignment="1">
      <alignment/>
    </xf>
    <xf numFmtId="171" fontId="0" fillId="38" borderId="17" xfId="51" applyFont="1" applyFill="1" applyBorder="1" applyAlignment="1">
      <alignment horizontal="right"/>
    </xf>
    <xf numFmtId="183" fontId="0" fillId="38" borderId="17" xfId="51" applyNumberFormat="1" applyFont="1" applyFill="1" applyBorder="1" applyAlignment="1">
      <alignment horizontal="right"/>
    </xf>
    <xf numFmtId="182" fontId="0" fillId="38" borderId="22" xfId="51" applyNumberFormat="1" applyFont="1" applyFill="1" applyBorder="1" applyAlignment="1">
      <alignment horizontal="right"/>
    </xf>
    <xf numFmtId="183" fontId="0" fillId="38" borderId="21" xfId="51" applyNumberFormat="1" applyFont="1" applyFill="1" applyBorder="1" applyAlignment="1">
      <alignment horizontal="right"/>
    </xf>
    <xf numFmtId="182" fontId="0" fillId="38" borderId="23" xfId="0" applyNumberFormat="1" applyFont="1" applyFill="1" applyBorder="1" applyAlignment="1">
      <alignment horizontal="right"/>
    </xf>
    <xf numFmtId="182" fontId="0" fillId="38" borderId="17" xfId="51" applyNumberFormat="1" applyFont="1" applyFill="1" applyBorder="1" applyAlignment="1">
      <alignment/>
    </xf>
    <xf numFmtId="182" fontId="0" fillId="38" borderId="22" xfId="0" applyNumberFormat="1" applyFont="1" applyFill="1" applyBorder="1" applyAlignment="1">
      <alignment horizontal="right"/>
    </xf>
    <xf numFmtId="183" fontId="0" fillId="38" borderId="17" xfId="0" applyNumberFormat="1" applyFont="1" applyFill="1" applyBorder="1" applyAlignment="1">
      <alignment/>
    </xf>
    <xf numFmtId="171" fontId="0" fillId="38" borderId="17" xfId="51" applyFont="1" applyFill="1" applyBorder="1" applyAlignment="1">
      <alignment/>
    </xf>
    <xf numFmtId="182" fontId="0" fillId="38" borderId="0" xfId="0" applyNumberFormat="1" applyFont="1" applyFill="1" applyBorder="1" applyAlignment="1">
      <alignment/>
    </xf>
    <xf numFmtId="4" fontId="12" fillId="16" borderId="10" xfId="0" applyNumberFormat="1" applyFont="1" applyFill="1" applyBorder="1" applyAlignment="1">
      <alignment/>
    </xf>
    <xf numFmtId="10" fontId="7" fillId="0" borderId="17" xfId="51" applyNumberFormat="1" applyFont="1" applyFill="1" applyBorder="1" applyAlignment="1">
      <alignment horizontal="right"/>
    </xf>
    <xf numFmtId="10" fontId="7" fillId="0" borderId="17" xfId="49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208" fontId="9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11" fillId="0" borderId="20" xfId="51" applyNumberFormat="1" applyFont="1" applyBorder="1" applyAlignment="1">
      <alignment/>
    </xf>
    <xf numFmtId="0" fontId="95" fillId="0" borderId="0" xfId="0" applyFont="1" applyAlignment="1">
      <alignment/>
    </xf>
    <xf numFmtId="171" fontId="10" fillId="0" borderId="24" xfId="51" applyFont="1" applyFill="1" applyBorder="1" applyAlignment="1">
      <alignment/>
    </xf>
    <xf numFmtId="0" fontId="0" fillId="0" borderId="17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202" fontId="30" fillId="0" borderId="0" xfId="0" applyNumberFormat="1" applyFont="1" applyAlignment="1">
      <alignment/>
    </xf>
    <xf numFmtId="209" fontId="14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211" fontId="90" fillId="0" borderId="0" xfId="0" applyNumberFormat="1" applyFont="1" applyAlignment="1">
      <alignment/>
    </xf>
    <xf numFmtId="199" fontId="31" fillId="0" borderId="0" xfId="51" applyNumberFormat="1" applyFont="1" applyAlignment="1">
      <alignment/>
    </xf>
    <xf numFmtId="0" fontId="0" fillId="0" borderId="22" xfId="0" applyFont="1" applyBorder="1" applyAlignment="1">
      <alignment horizontal="justify"/>
    </xf>
    <xf numFmtId="0" fontId="96" fillId="0" borderId="0" xfId="0" applyFont="1" applyAlignment="1">
      <alignment/>
    </xf>
    <xf numFmtId="221" fontId="90" fillId="0" borderId="0" xfId="51" applyNumberFormat="1" applyFont="1" applyAlignment="1">
      <alignment/>
    </xf>
    <xf numFmtId="187" fontId="97" fillId="0" borderId="0" xfId="0" applyNumberFormat="1" applyFont="1" applyAlignment="1">
      <alignment/>
    </xf>
    <xf numFmtId="17" fontId="24" fillId="35" borderId="15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justify"/>
    </xf>
    <xf numFmtId="171" fontId="9" fillId="0" borderId="0" xfId="51" applyFont="1" applyAlignment="1">
      <alignment/>
    </xf>
    <xf numFmtId="195" fontId="17" fillId="0" borderId="0" xfId="0" applyNumberFormat="1" applyFont="1" applyAlignment="1">
      <alignment/>
    </xf>
    <xf numFmtId="4" fontId="12" fillId="38" borderId="10" xfId="0" applyNumberFormat="1" applyFont="1" applyFill="1" applyBorder="1" applyAlignment="1">
      <alignment/>
    </xf>
    <xf numFmtId="0" fontId="20" fillId="38" borderId="10" xfId="0" applyFont="1" applyFill="1" applyBorder="1" applyAlignment="1">
      <alignment horizontal="left"/>
    </xf>
    <xf numFmtId="17" fontId="20" fillId="38" borderId="15" xfId="0" applyNumberFormat="1" applyFont="1" applyFill="1" applyBorder="1" applyAlignment="1">
      <alignment horizontal="center"/>
    </xf>
    <xf numFmtId="4" fontId="10" fillId="38" borderId="10" xfId="0" applyNumberFormat="1" applyFont="1" applyFill="1" applyBorder="1" applyAlignment="1">
      <alignment/>
    </xf>
    <xf numFmtId="10" fontId="33" fillId="7" borderId="10" xfId="49" applyNumberFormat="1" applyFont="1" applyFill="1" applyBorder="1" applyAlignment="1">
      <alignment/>
    </xf>
    <xf numFmtId="0" fontId="91" fillId="7" borderId="10" xfId="0" applyFont="1" applyFill="1" applyBorder="1" applyAlignment="1">
      <alignment horizontal="center"/>
    </xf>
    <xf numFmtId="182" fontId="11" fillId="38" borderId="10" xfId="51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93" fontId="11" fillId="0" borderId="10" xfId="0" applyNumberFormat="1" applyFont="1" applyBorder="1" applyAlignment="1">
      <alignment/>
    </xf>
    <xf numFmtId="182" fontId="11" fillId="35" borderId="10" xfId="51" applyNumberFormat="1" applyFont="1" applyFill="1" applyBorder="1" applyAlignment="1">
      <alignment/>
    </xf>
    <xf numFmtId="182" fontId="23" fillId="38" borderId="0" xfId="0" applyNumberFormat="1" applyFont="1" applyFill="1" applyBorder="1" applyAlignment="1">
      <alignment horizontal="right"/>
    </xf>
    <xf numFmtId="0" fontId="24" fillId="35" borderId="16" xfId="0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82" fontId="21" fillId="0" borderId="10" xfId="0" applyNumberFormat="1" applyFont="1" applyBorder="1" applyAlignment="1">
      <alignment/>
    </xf>
    <xf numFmtId="171" fontId="91" fillId="7" borderId="15" xfId="51" applyFont="1" applyFill="1" applyBorder="1" applyAlignment="1">
      <alignment horizontal="center"/>
    </xf>
    <xf numFmtId="182" fontId="11" fillId="0" borderId="12" xfId="51" applyNumberFormat="1" applyFont="1" applyBorder="1" applyAlignment="1">
      <alignment/>
    </xf>
    <xf numFmtId="0" fontId="14" fillId="38" borderId="0" xfId="0" applyFont="1" applyFill="1" applyBorder="1" applyAlignment="1">
      <alignment/>
    </xf>
    <xf numFmtId="0" fontId="16" fillId="38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justify"/>
    </xf>
    <xf numFmtId="171" fontId="17" fillId="38" borderId="0" xfId="51" applyFont="1" applyFill="1" applyBorder="1" applyAlignment="1">
      <alignment/>
    </xf>
    <xf numFmtId="10" fontId="17" fillId="38" borderId="0" xfId="49" applyNumberFormat="1" applyFont="1" applyFill="1" applyBorder="1" applyAlignment="1">
      <alignment horizontal="center"/>
    </xf>
    <xf numFmtId="10" fontId="17" fillId="38" borderId="0" xfId="51" applyNumberFormat="1" applyFont="1" applyFill="1" applyBorder="1" applyAlignment="1">
      <alignment horizontal="center"/>
    </xf>
    <xf numFmtId="171" fontId="17" fillId="38" borderId="0" xfId="51" applyNumberFormat="1" applyFont="1" applyFill="1" applyBorder="1" applyAlignment="1">
      <alignment horizontal="left" indent="1"/>
    </xf>
    <xf numFmtId="10" fontId="0" fillId="0" borderId="0" xfId="49" applyNumberFormat="1" applyFont="1" applyBorder="1" applyAlignment="1">
      <alignment/>
    </xf>
    <xf numFmtId="0" fontId="20" fillId="0" borderId="15" xfId="0" applyFont="1" applyFill="1" applyBorder="1" applyAlignment="1">
      <alignment horizontal="left"/>
    </xf>
    <xf numFmtId="0" fontId="24" fillId="35" borderId="15" xfId="0" applyFont="1" applyFill="1" applyBorder="1" applyAlignment="1">
      <alignment horizontal="right"/>
    </xf>
    <xf numFmtId="0" fontId="20" fillId="38" borderId="15" xfId="0" applyFont="1" applyFill="1" applyBorder="1" applyAlignment="1">
      <alignment horizontal="left"/>
    </xf>
    <xf numFmtId="0" fontId="24" fillId="35" borderId="12" xfId="0" applyFont="1" applyFill="1" applyBorder="1" applyAlignment="1">
      <alignment horizontal="right"/>
    </xf>
    <xf numFmtId="0" fontId="20" fillId="38" borderId="12" xfId="0" applyFont="1" applyFill="1" applyBorder="1" applyAlignment="1">
      <alignment horizontal="left"/>
    </xf>
    <xf numFmtId="182" fontId="0" fillId="38" borderId="17" xfId="51" applyNumberFormat="1" applyFont="1" applyFill="1" applyBorder="1" applyAlignment="1">
      <alignment horizontal="right"/>
    </xf>
    <xf numFmtId="203" fontId="0" fillId="35" borderId="27" xfId="0" applyNumberFormat="1" applyFill="1" applyBorder="1" applyAlignment="1">
      <alignment/>
    </xf>
    <xf numFmtId="0" fontId="20" fillId="38" borderId="10" xfId="0" applyFont="1" applyFill="1" applyBorder="1" applyAlignment="1">
      <alignment/>
    </xf>
    <xf numFmtId="171" fontId="28" fillId="0" borderId="20" xfId="51" applyFont="1" applyBorder="1" applyAlignment="1">
      <alignment/>
    </xf>
    <xf numFmtId="0" fontId="0" fillId="0" borderId="17" xfId="0" applyFont="1" applyBorder="1" applyAlignment="1">
      <alignment horizontal="justify"/>
    </xf>
    <xf numFmtId="10" fontId="0" fillId="0" borderId="0" xfId="49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17" xfId="0" applyFont="1" applyBorder="1" applyAlignment="1">
      <alignment horizontal="left"/>
    </xf>
    <xf numFmtId="10" fontId="7" fillId="40" borderId="10" xfId="49" applyNumberFormat="1" applyFont="1" applyFill="1" applyBorder="1" applyAlignment="1">
      <alignment/>
    </xf>
    <xf numFmtId="182" fontId="93" fillId="16" borderId="10" xfId="51" applyNumberFormat="1" applyFont="1" applyFill="1" applyBorder="1" applyAlignment="1">
      <alignment/>
    </xf>
    <xf numFmtId="0" fontId="93" fillId="38" borderId="0" xfId="0" applyFont="1" applyFill="1" applyBorder="1" applyAlignment="1">
      <alignment/>
    </xf>
    <xf numFmtId="216" fontId="93" fillId="38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49" applyFont="1" applyBorder="1" applyAlignment="1">
      <alignment/>
    </xf>
    <xf numFmtId="182" fontId="21" fillId="0" borderId="20" xfId="0" applyNumberFormat="1" applyFont="1" applyBorder="1" applyAlignment="1">
      <alignment/>
    </xf>
    <xf numFmtId="201" fontId="21" fillId="37" borderId="20" xfId="0" applyNumberFormat="1" applyFont="1" applyFill="1" applyBorder="1" applyAlignment="1">
      <alignment horizontal="center"/>
    </xf>
    <xf numFmtId="182" fontId="21" fillId="0" borderId="20" xfId="51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0" fontId="17" fillId="0" borderId="20" xfId="49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93" fontId="11" fillId="38" borderId="10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82" fontId="7" fillId="38" borderId="0" xfId="51" applyNumberFormat="1" applyFont="1" applyFill="1" applyBorder="1" applyAlignment="1">
      <alignment/>
    </xf>
    <xf numFmtId="10" fontId="7" fillId="38" borderId="0" xfId="49" applyNumberFormat="1" applyFont="1" applyFill="1" applyBorder="1" applyAlignment="1">
      <alignment/>
    </xf>
    <xf numFmtId="193" fontId="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20" fillId="38" borderId="17" xfId="0" applyFont="1" applyFill="1" applyBorder="1" applyAlignment="1">
      <alignment horizontal="left"/>
    </xf>
    <xf numFmtId="0" fontId="20" fillId="38" borderId="23" xfId="0" applyFont="1" applyFill="1" applyBorder="1" applyAlignment="1">
      <alignment horizontal="left"/>
    </xf>
    <xf numFmtId="10" fontId="33" fillId="7" borderId="18" xfId="49" applyNumberFormat="1" applyFont="1" applyFill="1" applyBorder="1" applyAlignment="1">
      <alignment/>
    </xf>
    <xf numFmtId="9" fontId="33" fillId="7" borderId="0" xfId="49" applyNumberFormat="1" applyFont="1" applyFill="1" applyBorder="1" applyAlignment="1">
      <alignment/>
    </xf>
    <xf numFmtId="171" fontId="33" fillId="0" borderId="0" xfId="51" applyFont="1" applyBorder="1" applyAlignment="1">
      <alignment/>
    </xf>
    <xf numFmtId="10" fontId="33" fillId="7" borderId="0" xfId="49" applyNumberFormat="1" applyFont="1" applyFill="1" applyBorder="1" applyAlignment="1">
      <alignment/>
    </xf>
    <xf numFmtId="10" fontId="33" fillId="0" borderId="0" xfId="49" applyNumberFormat="1" applyFont="1" applyBorder="1" applyAlignment="1">
      <alignment/>
    </xf>
    <xf numFmtId="206" fontId="91" fillId="7" borderId="14" xfId="51" applyNumberFormat="1" applyFont="1" applyFill="1" applyBorder="1" applyAlignment="1">
      <alignment/>
    </xf>
    <xf numFmtId="206" fontId="91" fillId="0" borderId="23" xfId="51" applyNumberFormat="1" applyFont="1" applyFill="1" applyBorder="1" applyAlignment="1">
      <alignment horizontal="right"/>
    </xf>
    <xf numFmtId="171" fontId="91" fillId="7" borderId="23" xfId="51" applyFont="1" applyFill="1" applyBorder="1" applyAlignment="1">
      <alignment/>
    </xf>
    <xf numFmtId="171" fontId="91" fillId="0" borderId="23" xfId="51" applyFont="1" applyBorder="1" applyAlignment="1">
      <alignment/>
    </xf>
    <xf numFmtId="185" fontId="7" fillId="13" borderId="17" xfId="0" applyNumberFormat="1" applyFont="1" applyFill="1" applyBorder="1" applyAlignment="1">
      <alignment/>
    </xf>
    <xf numFmtId="182" fontId="7" fillId="13" borderId="17" xfId="51" applyNumberFormat="1" applyFont="1" applyFill="1" applyBorder="1" applyAlignment="1">
      <alignment/>
    </xf>
    <xf numFmtId="182" fontId="7" fillId="13" borderId="17" xfId="0" applyNumberFormat="1" applyFont="1" applyFill="1" applyBorder="1" applyAlignment="1">
      <alignment/>
    </xf>
    <xf numFmtId="182" fontId="7" fillId="13" borderId="20" xfId="51" applyNumberFormat="1" applyFont="1" applyFill="1" applyBorder="1" applyAlignment="1">
      <alignment/>
    </xf>
    <xf numFmtId="171" fontId="28" fillId="0" borderId="28" xfId="51" applyFont="1" applyFill="1" applyBorder="1" applyAlignment="1">
      <alignment/>
    </xf>
    <xf numFmtId="171" fontId="28" fillId="0" borderId="16" xfId="51" applyNumberFormat="1" applyFont="1" applyBorder="1" applyAlignment="1">
      <alignment/>
    </xf>
    <xf numFmtId="171" fontId="28" fillId="0" borderId="16" xfId="5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2" fontId="1" fillId="13" borderId="20" xfId="0" applyNumberFormat="1" applyFont="1" applyFill="1" applyBorder="1" applyAlignment="1">
      <alignment/>
    </xf>
    <xf numFmtId="0" fontId="21" fillId="38" borderId="0" xfId="0" applyFont="1" applyFill="1" applyBorder="1" applyAlignment="1">
      <alignment/>
    </xf>
    <xf numFmtId="182" fontId="0" fillId="38" borderId="0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185" fontId="7" fillId="13" borderId="22" xfId="0" applyNumberFormat="1" applyFont="1" applyFill="1" applyBorder="1" applyAlignment="1">
      <alignment/>
    </xf>
    <xf numFmtId="0" fontId="17" fillId="35" borderId="17" xfId="0" applyFont="1" applyFill="1" applyBorder="1" applyAlignment="1">
      <alignment horizontal="justify"/>
    </xf>
    <xf numFmtId="171" fontId="17" fillId="35" borderId="17" xfId="51" applyFont="1" applyFill="1" applyBorder="1" applyAlignment="1">
      <alignment/>
    </xf>
    <xf numFmtId="4" fontId="17" fillId="35" borderId="0" xfId="0" applyNumberFormat="1" applyFont="1" applyFill="1" applyAlignment="1">
      <alignment/>
    </xf>
    <xf numFmtId="10" fontId="17" fillId="35" borderId="21" xfId="49" applyNumberFormat="1" applyFont="1" applyFill="1" applyBorder="1" applyAlignment="1">
      <alignment horizontal="center"/>
    </xf>
    <xf numFmtId="17" fontId="91" fillId="7" borderId="16" xfId="0" applyNumberFormat="1" applyFont="1" applyFill="1" applyBorder="1" applyAlignment="1">
      <alignment horizontal="center"/>
    </xf>
    <xf numFmtId="0" fontId="91" fillId="0" borderId="22" xfId="0" applyFont="1" applyBorder="1" applyAlignment="1">
      <alignment/>
    </xf>
    <xf numFmtId="183" fontId="0" fillId="38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82" fontId="0" fillId="38" borderId="22" xfId="51" applyNumberFormat="1" applyFont="1" applyFill="1" applyBorder="1" applyAlignment="1">
      <alignment horizontal="right"/>
    </xf>
    <xf numFmtId="182" fontId="0" fillId="0" borderId="0" xfId="51" applyNumberFormat="1" applyFont="1" applyAlignment="1">
      <alignment/>
    </xf>
    <xf numFmtId="201" fontId="23" fillId="39" borderId="0" xfId="0" applyNumberFormat="1" applyFont="1" applyFill="1" applyBorder="1" applyAlignment="1">
      <alignment horizontal="center"/>
    </xf>
    <xf numFmtId="182" fontId="23" fillId="39" borderId="0" xfId="51" applyNumberFormat="1" applyFont="1" applyFill="1" applyAlignment="1">
      <alignment/>
    </xf>
    <xf numFmtId="10" fontId="17" fillId="35" borderId="17" xfId="49" applyNumberFormat="1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32" fillId="41" borderId="10" xfId="0" applyFont="1" applyFill="1" applyBorder="1" applyAlignment="1">
      <alignment horizontal="center"/>
    </xf>
    <xf numFmtId="9" fontId="17" fillId="41" borderId="10" xfId="49" applyFont="1" applyFill="1" applyBorder="1" applyAlignment="1">
      <alignment/>
    </xf>
    <xf numFmtId="171" fontId="16" fillId="41" borderId="10" xfId="51" applyFont="1" applyFill="1" applyBorder="1" applyAlignment="1">
      <alignment/>
    </xf>
    <xf numFmtId="4" fontId="16" fillId="41" borderId="10" xfId="0" applyNumberFormat="1" applyFont="1" applyFill="1" applyBorder="1" applyAlignment="1">
      <alignment/>
    </xf>
    <xf numFmtId="182" fontId="33" fillId="7" borderId="27" xfId="0" applyNumberFormat="1" applyFont="1" applyFill="1" applyBorder="1" applyAlignment="1">
      <alignment horizontal="right"/>
    </xf>
    <xf numFmtId="0" fontId="91" fillId="42" borderId="13" xfId="0" applyFont="1" applyFill="1" applyBorder="1" applyAlignment="1">
      <alignment/>
    </xf>
    <xf numFmtId="0" fontId="91" fillId="43" borderId="22" xfId="0" applyFont="1" applyFill="1" applyBorder="1" applyAlignment="1">
      <alignment/>
    </xf>
    <xf numFmtId="0" fontId="91" fillId="43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20" fillId="16" borderId="20" xfId="0" applyFont="1" applyFill="1" applyBorder="1" applyAlignment="1">
      <alignment horizontal="center"/>
    </xf>
    <xf numFmtId="9" fontId="11" fillId="0" borderId="20" xfId="49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/>
    </xf>
    <xf numFmtId="9" fontId="10" fillId="0" borderId="20" xfId="49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7" borderId="10" xfId="0" applyFont="1" applyFill="1" applyBorder="1" applyAlignment="1">
      <alignment/>
    </xf>
    <xf numFmtId="9" fontId="10" fillId="0" borderId="17" xfId="49" applyFont="1" applyBorder="1" applyAlignment="1">
      <alignment/>
    </xf>
    <xf numFmtId="4" fontId="2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2" fillId="38" borderId="24" xfId="51" applyFont="1" applyFill="1" applyBorder="1" applyAlignment="1">
      <alignment/>
    </xf>
    <xf numFmtId="171" fontId="1" fillId="12" borderId="24" xfId="51" applyFont="1" applyFill="1" applyBorder="1" applyAlignment="1">
      <alignment/>
    </xf>
    <xf numFmtId="171" fontId="12" fillId="12" borderId="24" xfId="51" applyFont="1" applyFill="1" applyBorder="1" applyAlignment="1">
      <alignment/>
    </xf>
    <xf numFmtId="171" fontId="12" fillId="38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9" fontId="29" fillId="38" borderId="0" xfId="0" applyNumberFormat="1" applyFont="1" applyFill="1" applyAlignment="1">
      <alignment horizontal="center"/>
    </xf>
    <xf numFmtId="0" fontId="98" fillId="44" borderId="0" xfId="0" applyFont="1" applyFill="1" applyAlignment="1">
      <alignment/>
    </xf>
    <xf numFmtId="4" fontId="98" fillId="44" borderId="0" xfId="0" applyNumberFormat="1" applyFont="1" applyFill="1" applyAlignment="1">
      <alignment/>
    </xf>
    <xf numFmtId="171" fontId="98" fillId="44" borderId="0" xfId="0" applyNumberFormat="1" applyFont="1" applyFill="1" applyAlignment="1">
      <alignment/>
    </xf>
    <xf numFmtId="171" fontId="0" fillId="0" borderId="10" xfId="51" applyFont="1" applyFill="1" applyBorder="1" applyAlignment="1">
      <alignment/>
    </xf>
    <xf numFmtId="193" fontId="11" fillId="0" borderId="10" xfId="0" applyNumberFormat="1" applyFont="1" applyFill="1" applyBorder="1" applyAlignment="1">
      <alignment/>
    </xf>
    <xf numFmtId="171" fontId="98" fillId="44" borderId="0" xfId="5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" fontId="1" fillId="0" borderId="24" xfId="0" applyNumberFormat="1" applyFont="1" applyFill="1" applyBorder="1" applyAlignment="1">
      <alignment/>
    </xf>
    <xf numFmtId="171" fontId="1" fillId="0" borderId="24" xfId="51" applyFont="1" applyFill="1" applyBorder="1" applyAlignment="1">
      <alignment/>
    </xf>
    <xf numFmtId="0" fontId="99" fillId="45" borderId="24" xfId="0" applyFont="1" applyFill="1" applyBorder="1" applyAlignment="1">
      <alignment horizontal="center"/>
    </xf>
    <xf numFmtId="171" fontId="10" fillId="38" borderId="10" xfId="0" applyNumberFormat="1" applyFont="1" applyFill="1" applyBorder="1" applyAlignment="1">
      <alignment/>
    </xf>
    <xf numFmtId="171" fontId="0" fillId="14" borderId="24" xfId="51" applyFont="1" applyFill="1" applyBorder="1" applyAlignment="1">
      <alignment/>
    </xf>
    <xf numFmtId="171" fontId="10" fillId="14" borderId="24" xfId="51" applyFont="1" applyFill="1" applyBorder="1" applyAlignment="1">
      <alignment/>
    </xf>
    <xf numFmtId="0" fontId="0" fillId="14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1" fontId="0" fillId="0" borderId="24" xfId="51" applyFont="1" applyFill="1" applyBorder="1" applyAlignment="1">
      <alignment/>
    </xf>
    <xf numFmtId="171" fontId="10" fillId="38" borderId="24" xfId="51" applyFont="1" applyFill="1" applyBorder="1" applyAlignment="1">
      <alignment/>
    </xf>
    <xf numFmtId="171" fontId="0" fillId="38" borderId="24" xfId="51" applyFont="1" applyFill="1" applyBorder="1" applyAlignment="1">
      <alignment/>
    </xf>
    <xf numFmtId="171" fontId="12" fillId="0" borderId="24" xfId="51" applyFont="1" applyFill="1" applyBorder="1" applyAlignment="1">
      <alignment/>
    </xf>
    <xf numFmtId="10" fontId="17" fillId="35" borderId="20" xfId="49" applyNumberFormat="1" applyFont="1" applyFill="1" applyBorder="1" applyAlignment="1">
      <alignment horizontal="center"/>
    </xf>
    <xf numFmtId="171" fontId="11" fillId="0" borderId="24" xfId="5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98" fillId="44" borderId="0" xfId="0" applyNumberFormat="1" applyFont="1" applyFill="1" applyAlignment="1">
      <alignment/>
    </xf>
    <xf numFmtId="0" fontId="20" fillId="38" borderId="16" xfId="0" applyFont="1" applyFill="1" applyBorder="1" applyAlignment="1">
      <alignment horizontal="left"/>
    </xf>
    <xf numFmtId="9" fontId="0" fillId="0" borderId="0" xfId="49" applyFont="1" applyAlignment="1">
      <alignment/>
    </xf>
    <xf numFmtId="10" fontId="0" fillId="0" borderId="0" xfId="49" applyNumberFormat="1" applyFont="1" applyAlignment="1">
      <alignment/>
    </xf>
    <xf numFmtId="171" fontId="0" fillId="46" borderId="17" xfId="51" applyFont="1" applyFill="1" applyBorder="1" applyAlignment="1">
      <alignment/>
    </xf>
    <xf numFmtId="182" fontId="0" fillId="38" borderId="0" xfId="51" applyNumberFormat="1" applyFont="1" applyFill="1" applyAlignment="1">
      <alignment/>
    </xf>
    <xf numFmtId="182" fontId="11" fillId="38" borderId="17" xfId="0" applyNumberFormat="1" applyFont="1" applyFill="1" applyBorder="1" applyAlignment="1">
      <alignment horizontal="right"/>
    </xf>
    <xf numFmtId="171" fontId="10" fillId="38" borderId="10" xfId="51" applyFont="1" applyFill="1" applyBorder="1" applyAlignment="1">
      <alignment/>
    </xf>
    <xf numFmtId="0" fontId="91" fillId="7" borderId="14" xfId="0" applyFont="1" applyFill="1" applyBorder="1" applyAlignment="1">
      <alignment/>
    </xf>
    <xf numFmtId="4" fontId="91" fillId="7" borderId="23" xfId="0" applyNumberFormat="1" applyFont="1" applyFill="1" applyBorder="1" applyAlignment="1">
      <alignment/>
    </xf>
    <xf numFmtId="4" fontId="91" fillId="0" borderId="23" xfId="0" applyNumberFormat="1" applyFont="1" applyBorder="1" applyAlignment="1">
      <alignment/>
    </xf>
    <xf numFmtId="182" fontId="91" fillId="7" borderId="27" xfId="51" applyNumberFormat="1" applyFont="1" applyFill="1" applyBorder="1" applyAlignment="1">
      <alignment/>
    </xf>
    <xf numFmtId="0" fontId="34" fillId="7" borderId="21" xfId="0" applyFont="1" applyFill="1" applyBorder="1" applyAlignment="1">
      <alignment horizontal="center"/>
    </xf>
    <xf numFmtId="0" fontId="34" fillId="7" borderId="20" xfId="0" applyFont="1" applyFill="1" applyBorder="1" applyAlignment="1">
      <alignment/>
    </xf>
    <xf numFmtId="0" fontId="12" fillId="0" borderId="15" xfId="0" applyFont="1" applyBorder="1" applyAlignment="1">
      <alignment horizontal="center"/>
    </xf>
    <xf numFmtId="182" fontId="0" fillId="13" borderId="0" xfId="51" applyNumberFormat="1" applyFont="1" applyFill="1" applyAlignment="1">
      <alignment/>
    </xf>
    <xf numFmtId="0" fontId="11" fillId="38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3" fillId="0" borderId="0" xfId="0" applyFont="1" applyAlignment="1">
      <alignment/>
    </xf>
    <xf numFmtId="182" fontId="93" fillId="7" borderId="10" xfId="51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183" fontId="35" fillId="0" borderId="10" xfId="51" applyNumberFormat="1" applyFont="1" applyBorder="1" applyAlignment="1">
      <alignment/>
    </xf>
    <xf numFmtId="183" fontId="34" fillId="7" borderId="20" xfId="0" applyNumberFormat="1" applyFont="1" applyFill="1" applyBorder="1" applyAlignment="1">
      <alignment/>
    </xf>
    <xf numFmtId="182" fontId="0" fillId="39" borderId="0" xfId="51" applyNumberFormat="1" applyFont="1" applyFill="1" applyAlignment="1">
      <alignment/>
    </xf>
    <xf numFmtId="0" fontId="7" fillId="11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7" fillId="38" borderId="0" xfId="0" applyFont="1" applyFill="1" applyAlignment="1">
      <alignment horizontal="center"/>
    </xf>
    <xf numFmtId="171" fontId="0" fillId="0" borderId="0" xfId="51" applyFont="1" applyAlignment="1">
      <alignment/>
    </xf>
    <xf numFmtId="10" fontId="11" fillId="35" borderId="19" xfId="49" applyNumberFormat="1" applyFont="1" applyFill="1" applyBorder="1" applyAlignment="1">
      <alignment/>
    </xf>
    <xf numFmtId="171" fontId="0" fillId="38" borderId="17" xfId="51" applyFont="1" applyFill="1" applyBorder="1" applyAlignment="1">
      <alignment horizontal="right"/>
    </xf>
    <xf numFmtId="183" fontId="0" fillId="38" borderId="17" xfId="51" applyNumberFormat="1" applyFont="1" applyFill="1" applyBorder="1" applyAlignment="1">
      <alignment horizontal="right"/>
    </xf>
    <xf numFmtId="182" fontId="11" fillId="35" borderId="0" xfId="51" applyNumberFormat="1" applyFont="1" applyFill="1" applyAlignment="1">
      <alignment/>
    </xf>
    <xf numFmtId="0" fontId="11" fillId="35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182" fontId="7" fillId="11" borderId="10" xfId="51" applyNumberFormat="1" applyFont="1" applyFill="1" applyBorder="1" applyAlignment="1">
      <alignment/>
    </xf>
    <xf numFmtId="193" fontId="7" fillId="11" borderId="10" xfId="0" applyNumberFormat="1" applyFont="1" applyFill="1" applyBorder="1" applyAlignment="1">
      <alignment/>
    </xf>
    <xf numFmtId="43" fontId="1" fillId="0" borderId="24" xfId="51" applyNumberFormat="1" applyFont="1" applyFill="1" applyBorder="1" applyAlignment="1">
      <alignment/>
    </xf>
    <xf numFmtId="182" fontId="100" fillId="38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2" fontId="1" fillId="0" borderId="0" xfId="51" applyNumberFormat="1" applyFont="1" applyBorder="1" applyAlignment="1">
      <alignment/>
    </xf>
    <xf numFmtId="182" fontId="0" fillId="38" borderId="17" xfId="0" applyNumberFormat="1" applyFont="1" applyFill="1" applyBorder="1" applyAlignment="1">
      <alignment/>
    </xf>
    <xf numFmtId="182" fontId="0" fillId="38" borderId="17" xfId="0" applyNumberFormat="1" applyFont="1" applyFill="1" applyBorder="1" applyAlignment="1">
      <alignment horizontal="right"/>
    </xf>
    <xf numFmtId="10" fontId="0" fillId="0" borderId="16" xfId="49" applyNumberFormat="1" applyFont="1" applyFill="1" applyBorder="1" applyAlignment="1">
      <alignment horizontal="center"/>
    </xf>
    <xf numFmtId="10" fontId="0" fillId="0" borderId="15" xfId="49" applyNumberFormat="1" applyFont="1" applyFill="1" applyBorder="1" applyAlignment="1">
      <alignment horizontal="center"/>
    </xf>
    <xf numFmtId="0" fontId="99" fillId="45" borderId="29" xfId="0" applyFont="1" applyFill="1" applyBorder="1" applyAlignment="1">
      <alignment horizontal="center"/>
    </xf>
    <xf numFmtId="171" fontId="12" fillId="38" borderId="30" xfId="51" applyFont="1" applyFill="1" applyBorder="1" applyAlignment="1">
      <alignment/>
    </xf>
    <xf numFmtId="171" fontId="10" fillId="38" borderId="30" xfId="51" applyFont="1" applyFill="1" applyBorder="1" applyAlignment="1">
      <alignment/>
    </xf>
    <xf numFmtId="171" fontId="0" fillId="38" borderId="30" xfId="51" applyFont="1" applyFill="1" applyBorder="1" applyAlignment="1">
      <alignment/>
    </xf>
    <xf numFmtId="171" fontId="11" fillId="0" borderId="30" xfId="51" applyFont="1" applyFill="1" applyBorder="1" applyAlignment="1">
      <alignment/>
    </xf>
    <xf numFmtId="171" fontId="10" fillId="38" borderId="31" xfId="51" applyFont="1" applyFill="1" applyBorder="1" applyAlignment="1">
      <alignment/>
    </xf>
    <xf numFmtId="171" fontId="0" fillId="38" borderId="31" xfId="51" applyFont="1" applyFill="1" applyBorder="1" applyAlignment="1">
      <alignment/>
    </xf>
    <xf numFmtId="171" fontId="12" fillId="38" borderId="31" xfId="51" applyFont="1" applyFill="1" applyBorder="1" applyAlignment="1">
      <alignment/>
    </xf>
    <xf numFmtId="171" fontId="11" fillId="0" borderId="31" xfId="5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171" fontId="1" fillId="38" borderId="24" xfId="51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24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14" borderId="24" xfId="51" applyFont="1" applyFill="1" applyBorder="1" applyAlignment="1">
      <alignment/>
    </xf>
    <xf numFmtId="171" fontId="0" fillId="0" borderId="10" xfId="51" applyFont="1" applyFill="1" applyBorder="1" applyAlignment="1">
      <alignment/>
    </xf>
    <xf numFmtId="10" fontId="0" fillId="0" borderId="0" xfId="49" applyNumberFormat="1" applyFont="1" applyFill="1" applyAlignment="1">
      <alignment/>
    </xf>
    <xf numFmtId="171" fontId="7" fillId="0" borderId="24" xfId="51" applyFont="1" applyFill="1" applyBorder="1" applyAlignment="1">
      <alignment/>
    </xf>
    <xf numFmtId="10" fontId="12" fillId="0" borderId="10" xfId="49" applyNumberFormat="1" applyFont="1" applyBorder="1" applyAlignment="1">
      <alignment/>
    </xf>
    <xf numFmtId="0" fontId="63" fillId="38" borderId="0" xfId="0" applyFont="1" applyFill="1" applyBorder="1" applyAlignment="1">
      <alignment/>
    </xf>
    <xf numFmtId="0" fontId="63" fillId="38" borderId="0" xfId="0" applyFont="1" applyFill="1" applyBorder="1" applyAlignment="1">
      <alignment horizontal="center"/>
    </xf>
    <xf numFmtId="222" fontId="63" fillId="38" borderId="0" xfId="0" applyNumberFormat="1" applyFont="1" applyFill="1" applyBorder="1" applyAlignment="1">
      <alignment/>
    </xf>
    <xf numFmtId="224" fontId="63" fillId="38" borderId="0" xfId="0" applyNumberFormat="1" applyFont="1" applyFill="1" applyBorder="1" applyAlignment="1">
      <alignment/>
    </xf>
    <xf numFmtId="0" fontId="64" fillId="38" borderId="0" xfId="0" applyFont="1" applyFill="1" applyBorder="1" applyAlignment="1">
      <alignment horizontal="center"/>
    </xf>
    <xf numFmtId="43" fontId="64" fillId="38" borderId="0" xfId="51" applyNumberFormat="1" applyFont="1" applyFill="1" applyBorder="1" applyAlignment="1">
      <alignment horizontal="center"/>
    </xf>
    <xf numFmtId="0" fontId="63" fillId="38" borderId="0" xfId="0" applyFont="1" applyFill="1" applyBorder="1" applyAlignment="1">
      <alignment horizontal="center" vertical="center"/>
    </xf>
    <xf numFmtId="14" fontId="63" fillId="38" borderId="0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4" fontId="0" fillId="38" borderId="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224" fontId="0" fillId="38" borderId="0" xfId="0" applyNumberFormat="1" applyFont="1" applyFill="1" applyBorder="1" applyAlignment="1">
      <alignment horizontal="center"/>
    </xf>
    <xf numFmtId="224" fontId="0" fillId="38" borderId="0" xfId="0" applyNumberFormat="1" applyFont="1" applyFill="1" applyBorder="1" applyAlignment="1">
      <alignment horizontal="right"/>
    </xf>
    <xf numFmtId="14" fontId="0" fillId="38" borderId="0" xfId="0" applyNumberFormat="1" applyFont="1" applyFill="1" applyBorder="1" applyAlignment="1">
      <alignment/>
    </xf>
    <xf numFmtId="224" fontId="0" fillId="38" borderId="0" xfId="0" applyNumberFormat="1" applyFont="1" applyFill="1" applyBorder="1" applyAlignment="1">
      <alignment/>
    </xf>
    <xf numFmtId="14" fontId="0" fillId="38" borderId="0" xfId="0" applyNumberFormat="1" applyFont="1" applyFill="1" applyBorder="1" applyAlignment="1">
      <alignment horizontal="right"/>
    </xf>
    <xf numFmtId="0" fontId="91" fillId="0" borderId="0" xfId="0" applyFont="1" applyBorder="1" applyAlignment="1">
      <alignment/>
    </xf>
    <xf numFmtId="4" fontId="33" fillId="38" borderId="0" xfId="0" applyNumberFormat="1" applyFont="1" applyFill="1" applyBorder="1" applyAlignment="1">
      <alignment/>
    </xf>
    <xf numFmtId="0" fontId="65" fillId="38" borderId="0" xfId="0" applyFont="1" applyFill="1" applyBorder="1" applyAlignment="1">
      <alignment horizontal="center"/>
    </xf>
    <xf numFmtId="222" fontId="65" fillId="38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101" fillId="38" borderId="0" xfId="0" applyFont="1" applyFill="1" applyBorder="1" applyAlignment="1">
      <alignment/>
    </xf>
    <xf numFmtId="4" fontId="0" fillId="38" borderId="0" xfId="0" applyNumberFormat="1" applyFont="1" applyFill="1" applyBorder="1" applyAlignment="1">
      <alignment/>
    </xf>
    <xf numFmtId="2" fontId="0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 horizontal="center" vertical="center"/>
    </xf>
    <xf numFmtId="4" fontId="64" fillId="38" borderId="0" xfId="0" applyNumberFormat="1" applyFont="1" applyFill="1" applyBorder="1" applyAlignment="1">
      <alignment horizontal="center"/>
    </xf>
    <xf numFmtId="9" fontId="64" fillId="38" borderId="0" xfId="0" applyNumberFormat="1" applyFont="1" applyFill="1" applyBorder="1" applyAlignment="1">
      <alignment horizontal="center"/>
    </xf>
    <xf numFmtId="171" fontId="0" fillId="38" borderId="0" xfId="51" applyFont="1" applyFill="1" applyBorder="1" applyAlignment="1">
      <alignment horizontal="center"/>
    </xf>
    <xf numFmtId="43" fontId="0" fillId="38" borderId="0" xfId="0" applyNumberFormat="1" applyFont="1" applyFill="1" applyBorder="1" applyAlignment="1">
      <alignment/>
    </xf>
    <xf numFmtId="9" fontId="63" fillId="38" borderId="0" xfId="0" applyNumberFormat="1" applyFont="1" applyFill="1" applyBorder="1" applyAlignment="1">
      <alignment horizontal="center"/>
    </xf>
    <xf numFmtId="10" fontId="63" fillId="38" borderId="0" xfId="0" applyNumberFormat="1" applyFont="1" applyFill="1" applyBorder="1" applyAlignment="1">
      <alignment horizontal="center"/>
    </xf>
    <xf numFmtId="9" fontId="0" fillId="38" borderId="0" xfId="0" applyNumberFormat="1" applyFont="1" applyFill="1" applyBorder="1" applyAlignment="1">
      <alignment/>
    </xf>
    <xf numFmtId="9" fontId="0" fillId="38" borderId="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14" fontId="0" fillId="38" borderId="0" xfId="0" applyNumberFormat="1" applyFont="1" applyFill="1" applyBorder="1" applyAlignment="1">
      <alignment/>
    </xf>
    <xf numFmtId="171" fontId="0" fillId="38" borderId="0" xfId="51" applyFont="1" applyFill="1" applyBorder="1" applyAlignment="1">
      <alignment horizontal="left"/>
    </xf>
    <xf numFmtId="171" fontId="0" fillId="38" borderId="0" xfId="51" applyFont="1" applyFill="1" applyBorder="1" applyAlignment="1">
      <alignment/>
    </xf>
    <xf numFmtId="4" fontId="0" fillId="9" borderId="0" xfId="0" applyNumberFormat="1" applyFont="1" applyFill="1" applyBorder="1" applyAlignment="1">
      <alignment/>
    </xf>
    <xf numFmtId="9" fontId="0" fillId="9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14" fontId="7" fillId="38" borderId="0" xfId="51" applyNumberFormat="1" applyFont="1" applyFill="1" applyBorder="1" applyAlignment="1">
      <alignment/>
    </xf>
    <xf numFmtId="14" fontId="7" fillId="38" borderId="0" xfId="49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82" fontId="10" fillId="0" borderId="0" xfId="51" applyNumberFormat="1" applyFont="1" applyBorder="1" applyAlignment="1">
      <alignment/>
    </xf>
    <xf numFmtId="182" fontId="10" fillId="0" borderId="0" xfId="51" applyNumberFormat="1" applyFont="1" applyBorder="1" applyAlignment="1">
      <alignment horizontal="center"/>
    </xf>
    <xf numFmtId="10" fontId="9" fillId="0" borderId="0" xfId="49" applyNumberFormat="1" applyFont="1" applyBorder="1" applyAlignment="1">
      <alignment horizontal="center"/>
    </xf>
    <xf numFmtId="182" fontId="9" fillId="0" borderId="0" xfId="51" applyNumberFormat="1" applyFont="1" applyBorder="1" applyAlignment="1">
      <alignment/>
    </xf>
    <xf numFmtId="182" fontId="9" fillId="0" borderId="0" xfId="51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24" fontId="63" fillId="2" borderId="0" xfId="0" applyNumberFormat="1" applyFont="1" applyFill="1" applyBorder="1" applyAlignment="1">
      <alignment/>
    </xf>
    <xf numFmtId="0" fontId="63" fillId="2" borderId="0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224" fontId="0" fillId="2" borderId="0" xfId="0" applyNumberFormat="1" applyFont="1" applyFill="1" applyBorder="1" applyAlignment="1">
      <alignment/>
    </xf>
    <xf numFmtId="9" fontId="63" fillId="2" borderId="0" xfId="49" applyFont="1" applyFill="1" applyBorder="1" applyAlignment="1">
      <alignment horizontal="center"/>
    </xf>
    <xf numFmtId="10" fontId="0" fillId="38" borderId="0" xfId="0" applyNumberFormat="1" applyFont="1" applyFill="1" applyBorder="1" applyAlignment="1">
      <alignment horizontal="center"/>
    </xf>
    <xf numFmtId="171" fontId="0" fillId="38" borderId="0" xfId="51" applyFont="1" applyFill="1" applyBorder="1" applyAlignment="1">
      <alignment/>
    </xf>
    <xf numFmtId="0" fontId="101" fillId="38" borderId="0" xfId="0" applyFont="1" applyFill="1" applyBorder="1" applyAlignment="1">
      <alignment horizontal="center"/>
    </xf>
    <xf numFmtId="171" fontId="1" fillId="38" borderId="0" xfId="5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9" fontId="0" fillId="2" borderId="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4" fontId="1" fillId="38" borderId="10" xfId="0" applyNumberFormat="1" applyFont="1" applyFill="1" applyBorder="1" applyAlignment="1">
      <alignment horizontal="center"/>
    </xf>
    <xf numFmtId="171" fontId="0" fillId="2" borderId="0" xfId="51" applyFont="1" applyFill="1" applyBorder="1" applyAlignment="1">
      <alignment horizontal="center"/>
    </xf>
    <xf numFmtId="171" fontId="63" fillId="2" borderId="0" xfId="51" applyFont="1" applyFill="1" applyBorder="1" applyAlignment="1">
      <alignment horizontal="center"/>
    </xf>
    <xf numFmtId="171" fontId="63" fillId="38" borderId="0" xfId="51" applyFont="1" applyFill="1" applyBorder="1" applyAlignment="1">
      <alignment horizontal="center"/>
    </xf>
    <xf numFmtId="171" fontId="0" fillId="38" borderId="0" xfId="51" applyFont="1" applyFill="1" applyBorder="1" applyAlignment="1">
      <alignment horizontal="right"/>
    </xf>
    <xf numFmtId="171" fontId="0" fillId="2" borderId="0" xfId="51" applyFont="1" applyFill="1" applyBorder="1" applyAlignment="1">
      <alignment horizontal="right"/>
    </xf>
    <xf numFmtId="171" fontId="63" fillId="38" borderId="0" xfId="51" applyFont="1" applyFill="1" applyBorder="1" applyAlignment="1">
      <alignment horizontal="right"/>
    </xf>
    <xf numFmtId="171" fontId="63" fillId="2" borderId="0" xfId="51" applyFont="1" applyFill="1" applyBorder="1" applyAlignment="1">
      <alignment horizontal="right"/>
    </xf>
    <xf numFmtId="171" fontId="0" fillId="2" borderId="0" xfId="51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9" fontId="0" fillId="32" borderId="0" xfId="0" applyNumberFormat="1" applyFont="1" applyFill="1" applyBorder="1" applyAlignment="1">
      <alignment/>
    </xf>
    <xf numFmtId="0" fontId="0" fillId="47" borderId="0" xfId="0" applyFont="1" applyFill="1" applyBorder="1" applyAlignment="1">
      <alignment/>
    </xf>
    <xf numFmtId="4" fontId="0" fillId="47" borderId="0" xfId="0" applyNumberFormat="1" applyFont="1" applyFill="1" applyBorder="1" applyAlignment="1">
      <alignment/>
    </xf>
    <xf numFmtId="9" fontId="0" fillId="47" borderId="0" xfId="0" applyNumberFormat="1" applyFont="1" applyFill="1" applyBorder="1" applyAlignment="1">
      <alignment/>
    </xf>
    <xf numFmtId="0" fontId="0" fillId="48" borderId="0" xfId="0" applyFont="1" applyFill="1" applyBorder="1" applyAlignment="1">
      <alignment/>
    </xf>
    <xf numFmtId="4" fontId="0" fillId="48" borderId="0" xfId="0" applyNumberFormat="1" applyFont="1" applyFill="1" applyBorder="1" applyAlignment="1">
      <alignment/>
    </xf>
    <xf numFmtId="9" fontId="0" fillId="48" borderId="0" xfId="0" applyNumberFormat="1" applyFont="1" applyFill="1" applyBorder="1" applyAlignment="1">
      <alignment/>
    </xf>
    <xf numFmtId="0" fontId="0" fillId="11" borderId="0" xfId="0" applyFont="1" applyFill="1" applyBorder="1" applyAlignment="1">
      <alignment/>
    </xf>
    <xf numFmtId="4" fontId="0" fillId="11" borderId="0" xfId="0" applyNumberFormat="1" applyFont="1" applyFill="1" applyBorder="1" applyAlignment="1">
      <alignment/>
    </xf>
    <xf numFmtId="9" fontId="0" fillId="11" borderId="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9" fontId="16" fillId="41" borderId="20" xfId="49" applyFont="1" applyFill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93" fillId="16" borderId="0" xfId="0" applyNumberFormat="1" applyFont="1" applyFill="1" applyAlignment="1">
      <alignment horizontal="center"/>
    </xf>
    <xf numFmtId="0" fontId="94" fillId="0" borderId="12" xfId="0" applyFont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1" fillId="13" borderId="0" xfId="0" applyFont="1" applyFill="1" applyAlignment="1">
      <alignment horizontal="center"/>
    </xf>
    <xf numFmtId="0" fontId="11" fillId="39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82" fontId="103" fillId="0" borderId="0" xfId="51" applyNumberFormat="1" applyFont="1" applyFill="1" applyBorder="1" applyAlignment="1">
      <alignment/>
    </xf>
    <xf numFmtId="0" fontId="21" fillId="37" borderId="22" xfId="0" applyFont="1" applyFill="1" applyBorder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21" fillId="37" borderId="0" xfId="0" applyFont="1" applyFill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49" borderId="22" xfId="0" applyFont="1" applyFill="1" applyBorder="1" applyAlignment="1">
      <alignment horizontal="center"/>
    </xf>
    <xf numFmtId="0" fontId="1" fillId="49" borderId="0" xfId="0" applyFont="1" applyFill="1" applyBorder="1" applyAlignment="1">
      <alignment horizontal="center"/>
    </xf>
    <xf numFmtId="182" fontId="10" fillId="0" borderId="0" xfId="51" applyNumberFormat="1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82" fontId="90" fillId="0" borderId="16" xfId="51" applyNumberFormat="1" applyFont="1" applyBorder="1" applyAlignment="1">
      <alignment horizontal="center"/>
    </xf>
    <xf numFmtId="182" fontId="90" fillId="0" borderId="15" xfId="51" applyNumberFormat="1" applyFont="1" applyBorder="1" applyAlignment="1">
      <alignment horizontal="center"/>
    </xf>
    <xf numFmtId="0" fontId="93" fillId="7" borderId="35" xfId="0" applyFont="1" applyFill="1" applyBorder="1" applyAlignment="1">
      <alignment horizontal="center"/>
    </xf>
    <xf numFmtId="0" fontId="93" fillId="7" borderId="3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92" fillId="13" borderId="37" xfId="0" applyFont="1" applyFill="1" applyBorder="1" applyAlignment="1">
      <alignment horizontal="center"/>
    </xf>
    <xf numFmtId="0" fontId="92" fillId="13" borderId="38" xfId="0" applyFont="1" applyFill="1" applyBorder="1" applyAlignment="1">
      <alignment horizontal="center"/>
    </xf>
    <xf numFmtId="0" fontId="92" fillId="13" borderId="39" xfId="0" applyFont="1" applyFill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104" fillId="7" borderId="37" xfId="0" applyFont="1" applyFill="1" applyBorder="1" applyAlignment="1">
      <alignment horizontal="center"/>
    </xf>
    <xf numFmtId="0" fontId="104" fillId="7" borderId="39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0" fontId="11" fillId="35" borderId="19" xfId="49" applyNumberFormat="1" applyFont="1" applyFill="1" applyBorder="1" applyAlignment="1">
      <alignment horizontal="center"/>
    </xf>
    <xf numFmtId="10" fontId="11" fillId="35" borderId="27" xfId="49" applyNumberFormat="1" applyFont="1" applyFill="1" applyBorder="1" applyAlignment="1">
      <alignment horizontal="center"/>
    </xf>
    <xf numFmtId="0" fontId="88" fillId="13" borderId="1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4" fontId="1" fillId="38" borderId="16" xfId="0" applyNumberFormat="1" applyFont="1" applyFill="1" applyBorder="1" applyAlignment="1">
      <alignment horizontal="center"/>
    </xf>
    <xf numFmtId="4" fontId="1" fillId="38" borderId="12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/>
    </xf>
    <xf numFmtId="222" fontId="0" fillId="38" borderId="10" xfId="0" applyNumberFormat="1" applyFont="1" applyFill="1" applyBorder="1" applyAlignment="1">
      <alignment horizontal="center" vertical="center"/>
    </xf>
    <xf numFmtId="224" fontId="0" fillId="38" borderId="10" xfId="0" applyNumberFormat="1" applyFont="1" applyFill="1" applyBorder="1" applyAlignment="1">
      <alignment horizontal="center" vertical="center"/>
    </xf>
    <xf numFmtId="4" fontId="0" fillId="38" borderId="10" xfId="0" applyNumberFormat="1" applyFont="1" applyFill="1" applyBorder="1" applyAlignment="1">
      <alignment horizontal="center" vertical="center"/>
    </xf>
    <xf numFmtId="171" fontId="90" fillId="0" borderId="0" xfId="51" applyNumberFormat="1" applyFont="1" applyBorder="1" applyAlignment="1">
      <alignment horizontal="center"/>
    </xf>
    <xf numFmtId="171" fontId="90" fillId="0" borderId="16" xfId="51" applyNumberFormat="1" applyFont="1" applyBorder="1" applyAlignment="1">
      <alignment horizontal="center"/>
    </xf>
    <xf numFmtId="171" fontId="90" fillId="0" borderId="15" xfId="51" applyNumberFormat="1" applyFont="1" applyBorder="1" applyAlignment="1">
      <alignment horizontal="center"/>
    </xf>
    <xf numFmtId="0" fontId="93" fillId="4" borderId="35" xfId="0" applyFont="1" applyFill="1" applyBorder="1" applyAlignment="1">
      <alignment horizontal="center"/>
    </xf>
    <xf numFmtId="0" fontId="93" fillId="4" borderId="36" xfId="0" applyFont="1" applyFill="1" applyBorder="1" applyAlignment="1">
      <alignment horizontal="center"/>
    </xf>
    <xf numFmtId="0" fontId="93" fillId="4" borderId="41" xfId="0" applyFont="1" applyFill="1" applyBorder="1" applyAlignment="1">
      <alignment horizontal="center"/>
    </xf>
    <xf numFmtId="0" fontId="93" fillId="4" borderId="42" xfId="0" applyFont="1" applyFill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1" fontId="92" fillId="0" borderId="16" xfId="51" applyNumberFormat="1" applyFont="1" applyBorder="1" applyAlignment="1">
      <alignment horizontal="center"/>
    </xf>
    <xf numFmtId="171" fontId="92" fillId="0" borderId="15" xfId="51" applyNumberFormat="1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43" fontId="7" fillId="4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10" fontId="0" fillId="0" borderId="16" xfId="49" applyNumberFormat="1" applyFont="1" applyFill="1" applyBorder="1" applyAlignment="1">
      <alignment horizontal="center"/>
    </xf>
    <xf numFmtId="10" fontId="0" fillId="0" borderId="15" xfId="49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8" fillId="39" borderId="37" xfId="0" applyFont="1" applyFill="1" applyBorder="1" applyAlignment="1">
      <alignment horizontal="center"/>
    </xf>
    <xf numFmtId="0" fontId="88" fillId="39" borderId="38" xfId="0" applyFont="1" applyFill="1" applyBorder="1" applyAlignment="1">
      <alignment horizontal="center"/>
    </xf>
    <xf numFmtId="0" fontId="88" fillId="39" borderId="39" xfId="0" applyFont="1" applyFill="1" applyBorder="1" applyAlignment="1">
      <alignment horizontal="center"/>
    </xf>
    <xf numFmtId="203" fontId="0" fillId="35" borderId="13" xfId="45" applyNumberFormat="1" applyFont="1" applyFill="1" applyBorder="1" applyAlignment="1">
      <alignment horizontal="center"/>
    </xf>
    <xf numFmtId="203" fontId="0" fillId="35" borderId="14" xfId="45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8" fillId="39" borderId="10" xfId="0" applyFont="1" applyFill="1" applyBorder="1" applyAlignment="1">
      <alignment horizontal="center"/>
    </xf>
    <xf numFmtId="0" fontId="88" fillId="4" borderId="10" xfId="0" applyFont="1" applyFill="1" applyBorder="1" applyAlignment="1">
      <alignment horizontal="center"/>
    </xf>
    <xf numFmtId="10" fontId="0" fillId="0" borderId="16" xfId="49" applyNumberFormat="1" applyFont="1" applyBorder="1" applyAlignment="1">
      <alignment horizontal="center"/>
    </xf>
    <xf numFmtId="10" fontId="0" fillId="0" borderId="15" xfId="49" applyNumberFormat="1" applyFont="1" applyBorder="1" applyAlignment="1">
      <alignment horizontal="center"/>
    </xf>
    <xf numFmtId="9" fontId="0" fillId="0" borderId="16" xfId="49" applyFont="1" applyBorder="1" applyAlignment="1">
      <alignment horizontal="center"/>
    </xf>
    <xf numFmtId="9" fontId="0" fillId="0" borderId="15" xfId="49" applyFont="1" applyBorder="1" applyAlignment="1">
      <alignment horizontal="center"/>
    </xf>
    <xf numFmtId="0" fontId="104" fillId="4" borderId="37" xfId="0" applyFont="1" applyFill="1" applyBorder="1" applyAlignment="1">
      <alignment horizontal="center"/>
    </xf>
    <xf numFmtId="0" fontId="104" fillId="4" borderId="39" xfId="0" applyFont="1" applyFill="1" applyBorder="1" applyAlignment="1">
      <alignment horizontal="center"/>
    </xf>
    <xf numFmtId="0" fontId="104" fillId="4" borderId="38" xfId="0" applyFont="1" applyFill="1" applyBorder="1" applyAlignment="1">
      <alignment horizontal="center"/>
    </xf>
    <xf numFmtId="0" fontId="24" fillId="16" borderId="16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 vertical="center"/>
    </xf>
    <xf numFmtId="0" fontId="20" fillId="16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9" fontId="11" fillId="0" borderId="21" xfId="49" applyFont="1" applyBorder="1" applyAlignment="1">
      <alignment horizontal="right"/>
    </xf>
    <xf numFmtId="9" fontId="11" fillId="0" borderId="17" xfId="49" applyFont="1" applyBorder="1" applyAlignment="1">
      <alignment horizontal="right"/>
    </xf>
    <xf numFmtId="9" fontId="11" fillId="0" borderId="20" xfId="49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9" fontId="10" fillId="0" borderId="14" xfId="49" applyFont="1" applyBorder="1" applyAlignment="1">
      <alignment horizontal="right" vertical="center"/>
    </xf>
    <xf numFmtId="9" fontId="10" fillId="0" borderId="23" xfId="49" applyFont="1" applyBorder="1" applyAlignment="1">
      <alignment horizontal="right" vertical="center"/>
    </xf>
    <xf numFmtId="9" fontId="10" fillId="0" borderId="27" xfId="49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EVOLUÇÃO  </a:t>
            </a:r>
          </a:p>
        </c:rich>
      </c:tx>
      <c:layout>
        <c:manualLayout>
          <c:xMode val="factor"/>
          <c:yMode val="factor"/>
          <c:x val="-0.000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17"/>
          <c:w val="0.993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'cargas mensal'!$A$30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EB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'cargas mensal'!$B$29:$P$29</c:f>
              <c:numCache/>
            </c:numRef>
          </c:cat>
          <c:val>
            <c:numRef>
              <c:f>'cargas mensal'!$B$30:$P$30</c:f>
              <c:numCache/>
            </c:numRef>
          </c:val>
        </c:ser>
        <c:axId val="27319543"/>
        <c:axId val="44549296"/>
      </c:barChart>
      <c:catAx>
        <c:axId val="2731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49296"/>
        <c:crosses val="autoZero"/>
        <c:auto val="1"/>
        <c:lblOffset val="100"/>
        <c:tickLblSkip val="1"/>
        <c:noMultiLvlLbl val="0"/>
      </c:catAx>
      <c:valAx>
        <c:axId val="44549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954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475"/>
          <c:w val="0.9987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EB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'médias móveis cargas'!$A$10:$A$70</c:f>
              <c:strCache/>
            </c:strRef>
          </c:cat>
          <c:val>
            <c:numRef>
              <c:f>'médias móveis cargas'!$C$10:$C$70</c:f>
              <c:numCache/>
            </c:numRef>
          </c:val>
        </c:ser>
        <c:axId val="65399345"/>
        <c:axId val="51723194"/>
      </c:barChart>
      <c:catAx>
        <c:axId val="6539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23194"/>
        <c:crosses val="autoZero"/>
        <c:auto val="1"/>
        <c:lblOffset val="100"/>
        <c:tickLblSkip val="1"/>
        <c:noMultiLvlLbl val="0"/>
      </c:catAx>
      <c:valAx>
        <c:axId val="51723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5399345"/>
        <c:crossesAt val="1"/>
        <c:crossBetween val="between"/>
        <c:dispUnits/>
      </c:valAx>
      <c:spPr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1066800</xdr:colOff>
      <xdr:row>3</xdr:row>
      <xdr:rowOff>104775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1304925</xdr:colOff>
      <xdr:row>4</xdr:row>
      <xdr:rowOff>161925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58</xdr:row>
      <xdr:rowOff>85725</xdr:rowOff>
    </xdr:from>
    <xdr:to>
      <xdr:col>0</xdr:col>
      <xdr:colOff>1295400</xdr:colOff>
      <xdr:row>63</xdr:row>
      <xdr:rowOff>85725</xdr:rowOff>
    </xdr:to>
    <xdr:pic>
      <xdr:nvPicPr>
        <xdr:cNvPr id="2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0</xdr:colOff>
      <xdr:row>5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33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31</xdr:row>
      <xdr:rowOff>28575</xdr:rowOff>
    </xdr:from>
    <xdr:to>
      <xdr:col>14</xdr:col>
      <xdr:colOff>76200</xdr:colOff>
      <xdr:row>48</xdr:row>
      <xdr:rowOff>104775</xdr:rowOff>
    </xdr:to>
    <xdr:graphicFrame>
      <xdr:nvGraphicFramePr>
        <xdr:cNvPr id="2" name="Gráfico 4"/>
        <xdr:cNvGraphicFramePr/>
      </xdr:nvGraphicFramePr>
      <xdr:xfrm>
        <a:off x="123825" y="6010275"/>
        <a:ext cx="153924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0</xdr:col>
      <xdr:colOff>1990725</xdr:colOff>
      <xdr:row>4</xdr:row>
      <xdr:rowOff>19050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905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123825</xdr:rowOff>
    </xdr:from>
    <xdr:to>
      <xdr:col>14</xdr:col>
      <xdr:colOff>438150</xdr:colOff>
      <xdr:row>105</xdr:row>
      <xdr:rowOff>47625</xdr:rowOff>
    </xdr:to>
    <xdr:graphicFrame>
      <xdr:nvGraphicFramePr>
        <xdr:cNvPr id="2" name="Gráfico 3"/>
        <xdr:cNvGraphicFramePr/>
      </xdr:nvGraphicFramePr>
      <xdr:xfrm>
        <a:off x="0" y="13354050"/>
        <a:ext cx="13992225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1590675</xdr:colOff>
      <xdr:row>4</xdr:row>
      <xdr:rowOff>76200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543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57150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1771650</xdr:colOff>
      <xdr:row>6</xdr:row>
      <xdr:rowOff>57150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76200</xdr:rowOff>
    </xdr:from>
    <xdr:to>
      <xdr:col>0</xdr:col>
      <xdr:colOff>1485900</xdr:colOff>
      <xdr:row>3</xdr:row>
      <xdr:rowOff>142875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2</xdr:col>
      <xdr:colOff>285750</xdr:colOff>
      <xdr:row>6</xdr:row>
      <xdr:rowOff>114300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"/>
          <a:ext cx="2105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Ápice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3"/>
  <sheetViews>
    <sheetView showGridLines="0" tabSelected="1"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76.8515625" style="153" customWidth="1"/>
    <col min="2" max="2" width="25.421875" style="153" customWidth="1"/>
    <col min="3" max="3" width="17.7109375" style="153" customWidth="1"/>
    <col min="4" max="4" width="14.00390625" style="153" customWidth="1"/>
    <col min="5" max="5" width="20.00390625" style="153" bestFit="1" customWidth="1"/>
    <col min="6" max="6" width="13.57421875" style="153" bestFit="1" customWidth="1"/>
    <col min="7" max="7" width="34.421875" style="153" bestFit="1" customWidth="1"/>
    <col min="8" max="8" width="21.7109375" style="153" bestFit="1" customWidth="1"/>
    <col min="9" max="9" width="11.421875" style="153" bestFit="1" customWidth="1"/>
    <col min="10" max="16384" width="9.140625" style="153" customWidth="1"/>
  </cols>
  <sheetData>
    <row r="5" ht="12.75">
      <c r="F5" s="167"/>
    </row>
    <row r="6" spans="1:10" s="195" customFormat="1" ht="18.75">
      <c r="A6" s="586" t="s">
        <v>278</v>
      </c>
      <c r="B6" s="586"/>
      <c r="C6" s="586"/>
      <c r="D6" s="586"/>
      <c r="E6" s="586"/>
      <c r="F6" s="586"/>
      <c r="G6" s="586"/>
      <c r="H6" s="586"/>
      <c r="J6" s="196"/>
    </row>
    <row r="7" spans="1:8" ht="15.75">
      <c r="A7" s="587" t="s">
        <v>618</v>
      </c>
      <c r="B7" s="587"/>
      <c r="C7" s="587"/>
      <c r="D7" s="587"/>
      <c r="E7" s="587"/>
      <c r="F7" s="587"/>
      <c r="G7" s="587"/>
      <c r="H7" s="587"/>
    </row>
    <row r="8" spans="1:6" ht="15.75">
      <c r="A8" s="194"/>
      <c r="B8" s="194"/>
      <c r="E8" s="198"/>
      <c r="F8" s="193"/>
    </row>
    <row r="9" spans="1:8" ht="15.75">
      <c r="A9" s="182" t="s">
        <v>138</v>
      </c>
      <c r="B9" s="584" t="s">
        <v>317</v>
      </c>
      <c r="C9" s="585"/>
      <c r="D9" s="584" t="s">
        <v>279</v>
      </c>
      <c r="E9" s="588"/>
      <c r="F9" s="182" t="s">
        <v>105</v>
      </c>
      <c r="G9" s="589" t="s">
        <v>280</v>
      </c>
      <c r="H9" s="590"/>
    </row>
    <row r="10" spans="1:10" ht="15.75">
      <c r="A10" s="191" t="s">
        <v>140</v>
      </c>
      <c r="B10" s="192" t="s">
        <v>497</v>
      </c>
      <c r="C10" s="342">
        <v>4</v>
      </c>
      <c r="D10" s="378" t="s">
        <v>619</v>
      </c>
      <c r="E10" s="434">
        <f>5</f>
        <v>5</v>
      </c>
      <c r="F10" s="338">
        <f>E10/C10-1</f>
        <v>0.25</v>
      </c>
      <c r="G10" s="192" t="s">
        <v>161</v>
      </c>
      <c r="H10" s="203">
        <f>'berço 101'!N78</f>
        <v>51</v>
      </c>
      <c r="I10" s="198"/>
      <c r="J10" s="254"/>
    </row>
    <row r="11" spans="1:10" ht="15.75">
      <c r="A11" s="189" t="s">
        <v>172</v>
      </c>
      <c r="B11" s="188" t="s">
        <v>497</v>
      </c>
      <c r="C11" s="343">
        <v>0</v>
      </c>
      <c r="D11" s="364" t="s">
        <v>619</v>
      </c>
      <c r="E11" s="345">
        <v>0</v>
      </c>
      <c r="F11" s="339">
        <v>0</v>
      </c>
      <c r="G11" s="216" t="s">
        <v>161</v>
      </c>
      <c r="H11" s="204">
        <v>0</v>
      </c>
      <c r="I11" s="198"/>
      <c r="J11" s="153" t="s">
        <v>12</v>
      </c>
    </row>
    <row r="12" spans="1:11" ht="15.75">
      <c r="A12" s="191" t="s">
        <v>141</v>
      </c>
      <c r="B12" s="190" t="s">
        <v>497</v>
      </c>
      <c r="C12" s="344">
        <v>18.73</v>
      </c>
      <c r="D12" s="379" t="s">
        <v>619</v>
      </c>
      <c r="E12" s="435">
        <f>'berço 101'!D77</f>
        <v>14.489999999999998</v>
      </c>
      <c r="F12" s="340">
        <f>E12/C12-1</f>
        <v>-0.22637479978643893</v>
      </c>
      <c r="G12" s="190" t="s">
        <v>161</v>
      </c>
      <c r="H12" s="205">
        <f>'berço 101'!D78</f>
        <v>182.20999999999998</v>
      </c>
      <c r="I12" s="238"/>
      <c r="J12" s="238"/>
      <c r="K12" s="153" t="s">
        <v>12</v>
      </c>
    </row>
    <row r="13" spans="1:11" ht="15.75">
      <c r="A13" s="189" t="s">
        <v>173</v>
      </c>
      <c r="B13" s="188" t="s">
        <v>497</v>
      </c>
      <c r="C13" s="507">
        <v>11.27</v>
      </c>
      <c r="D13" s="506" t="s">
        <v>619</v>
      </c>
      <c r="E13" s="436">
        <f>'berço 101'!E77</f>
        <v>16.51</v>
      </c>
      <c r="F13" s="341">
        <f>E13/C13-1</f>
        <v>0.4649511978704528</v>
      </c>
      <c r="G13" s="187" t="s">
        <v>161</v>
      </c>
      <c r="H13" s="206">
        <f>'berço 101'!E78</f>
        <v>182.79000000000002</v>
      </c>
      <c r="I13" s="193"/>
      <c r="K13" s="153" t="s">
        <v>12</v>
      </c>
    </row>
    <row r="14" spans="1:10" ht="15.75">
      <c r="A14" s="186" t="s">
        <v>142</v>
      </c>
      <c r="B14" s="185" t="s">
        <v>497</v>
      </c>
      <c r="C14" s="377">
        <v>66977.022</v>
      </c>
      <c r="D14" s="380" t="s">
        <v>619</v>
      </c>
      <c r="E14" s="437">
        <f>'Mov. Cargas '!M107</f>
        <v>65046.598</v>
      </c>
      <c r="F14" s="337">
        <f>E14/C14-1</f>
        <v>-0.028822183225763576</v>
      </c>
      <c r="G14" s="185" t="s">
        <v>161</v>
      </c>
      <c r="H14" s="207">
        <f>'cargas mensal'!P27</f>
        <v>705379.5599999999</v>
      </c>
      <c r="J14" s="153" t="s">
        <v>12</v>
      </c>
    </row>
    <row r="15" spans="1:13" ht="15.75">
      <c r="A15" s="153" t="s">
        <v>137</v>
      </c>
      <c r="E15" s="198"/>
      <c r="F15" s="184"/>
      <c r="G15" s="180" t="s">
        <v>136</v>
      </c>
      <c r="H15" s="183">
        <f>H14/12</f>
        <v>58781.63</v>
      </c>
      <c r="J15" s="153" t="s">
        <v>12</v>
      </c>
      <c r="K15" s="153" t="s">
        <v>12</v>
      </c>
      <c r="M15" s="153" t="s">
        <v>12</v>
      </c>
    </row>
    <row r="16" spans="5:6" ht="18.75">
      <c r="E16" s="266"/>
      <c r="F16" s="198"/>
    </row>
    <row r="17" ht="15.75">
      <c r="M17" s="153" t="s">
        <v>12</v>
      </c>
    </row>
    <row r="18" spans="1:8" ht="15.75">
      <c r="A18" s="182" t="s">
        <v>135</v>
      </c>
      <c r="B18" s="589" t="s">
        <v>178</v>
      </c>
      <c r="C18" s="591"/>
      <c r="D18" s="589" t="s">
        <v>134</v>
      </c>
      <c r="E18" s="591"/>
      <c r="F18" s="182" t="s">
        <v>105</v>
      </c>
      <c r="G18" s="584" t="s">
        <v>316</v>
      </c>
      <c r="H18" s="585"/>
    </row>
    <row r="19" spans="1:12" ht="15.75">
      <c r="A19" s="281" t="s">
        <v>143</v>
      </c>
      <c r="B19" s="363" t="s">
        <v>497</v>
      </c>
      <c r="C19" s="291">
        <f>receitas!L42</f>
        <v>1989487.29</v>
      </c>
      <c r="D19" s="363" t="s">
        <v>619</v>
      </c>
      <c r="E19" s="291">
        <f>receitas!M42</f>
        <v>2363207.85</v>
      </c>
      <c r="F19" s="280">
        <f>E19/C19-1</f>
        <v>0.18784767406078773</v>
      </c>
      <c r="G19" s="192" t="s">
        <v>161</v>
      </c>
      <c r="H19" s="181">
        <f>receitas!N42</f>
        <v>22313051.88</v>
      </c>
      <c r="J19" s="153" t="s">
        <v>12</v>
      </c>
      <c r="L19" s="153" t="s">
        <v>12</v>
      </c>
    </row>
    <row r="20" spans="5:8" ht="21">
      <c r="E20" s="257"/>
      <c r="G20" s="180" t="s">
        <v>133</v>
      </c>
      <c r="H20" s="179">
        <f>H19/12</f>
        <v>1859420.99</v>
      </c>
    </row>
    <row r="21" spans="5:6" ht="15.75">
      <c r="E21" s="198"/>
      <c r="F21" s="217"/>
    </row>
    <row r="22" spans="7:11" ht="15.75">
      <c r="G22" s="584" t="s">
        <v>315</v>
      </c>
      <c r="H22" s="585"/>
      <c r="K22" s="153" t="s">
        <v>12</v>
      </c>
    </row>
    <row r="23" spans="1:12" ht="27.75">
      <c r="A23" s="438" t="s">
        <v>201</v>
      </c>
      <c r="B23" s="438" t="s">
        <v>202</v>
      </c>
      <c r="E23" s="269"/>
      <c r="G23" s="192" t="s">
        <v>161</v>
      </c>
      <c r="H23" s="445">
        <f>'Mov. Cargas '!O107</f>
        <v>705379.56</v>
      </c>
      <c r="L23" s="153" t="s">
        <v>12</v>
      </c>
    </row>
    <row r="24" spans="1:8" ht="27">
      <c r="A24" s="446" t="s">
        <v>199</v>
      </c>
      <c r="B24" s="447">
        <v>27</v>
      </c>
      <c r="G24" s="180" t="s">
        <v>162</v>
      </c>
      <c r="H24" s="315">
        <f>H23/12</f>
        <v>58781.630000000005</v>
      </c>
    </row>
    <row r="25" spans="1:2" ht="27">
      <c r="A25" s="446" t="s">
        <v>200</v>
      </c>
      <c r="B25" s="447">
        <v>20</v>
      </c>
    </row>
    <row r="26" spans="1:5" ht="27">
      <c r="A26" s="446" t="s">
        <v>198</v>
      </c>
      <c r="B26" s="447">
        <v>2</v>
      </c>
      <c r="E26" s="153" t="s">
        <v>12</v>
      </c>
    </row>
    <row r="27" spans="1:8" ht="27">
      <c r="A27" s="446" t="s">
        <v>20</v>
      </c>
      <c r="B27" s="447">
        <v>0</v>
      </c>
      <c r="G27" s="227" t="s">
        <v>163</v>
      </c>
      <c r="H27" s="228">
        <f>H19/H14</f>
        <v>31.632688477675764</v>
      </c>
    </row>
    <row r="28" spans="1:8" ht="27">
      <c r="A28" s="446" t="s">
        <v>258</v>
      </c>
      <c r="B28" s="447">
        <v>2</v>
      </c>
      <c r="G28" s="316"/>
      <c r="H28" s="317"/>
    </row>
    <row r="29" spans="1:8" ht="27">
      <c r="A29" s="446" t="s">
        <v>273</v>
      </c>
      <c r="B29" s="447">
        <v>0</v>
      </c>
      <c r="G29" s="316"/>
      <c r="H29" s="317"/>
    </row>
    <row r="30" spans="1:2" ht="27.75">
      <c r="A30" s="439" t="s">
        <v>297</v>
      </c>
      <c r="B30" s="448">
        <f>SUM(B24:B29)</f>
        <v>51</v>
      </c>
    </row>
    <row r="32" ht="15.75">
      <c r="A32" s="444"/>
    </row>
    <row r="33" ht="15.75">
      <c r="A33" s="444"/>
    </row>
  </sheetData>
  <sheetProtection/>
  <mergeCells count="9">
    <mergeCell ref="G22:H22"/>
    <mergeCell ref="A6:H6"/>
    <mergeCell ref="A7:H7"/>
    <mergeCell ref="B9:C9"/>
    <mergeCell ref="D9:E9"/>
    <mergeCell ref="G9:H9"/>
    <mergeCell ref="B18:C18"/>
    <mergeCell ref="D18:E18"/>
    <mergeCell ref="G18:H18"/>
  </mergeCells>
  <printOptions horizontalCentered="1" vertic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85"/>
  <sheetViews>
    <sheetView showGridLines="0" zoomScalePageLayoutView="0" workbookViewId="0" topLeftCell="A64">
      <selection activeCell="B72" sqref="B72"/>
    </sheetView>
  </sheetViews>
  <sheetFormatPr defaultColWidth="11.421875" defaultRowHeight="12.75"/>
  <cols>
    <col min="1" max="1" width="43.57421875" style="116" customWidth="1"/>
    <col min="2" max="2" width="34.140625" style="116" customWidth="1"/>
    <col min="3" max="3" width="35.421875" style="137" customWidth="1"/>
    <col min="4" max="4" width="15.28125" style="136" customWidth="1"/>
    <col min="5" max="5" width="17.7109375" style="136" customWidth="1"/>
    <col min="6" max="6" width="0.13671875" style="135" customWidth="1"/>
    <col min="7" max="12" width="11.421875" style="135" hidden="1" customWidth="1"/>
    <col min="13" max="13" width="11.421875" style="135" customWidth="1"/>
    <col min="14" max="14" width="13.140625" style="96" bestFit="1" customWidth="1"/>
    <col min="15" max="16" width="11.421875" style="135" customWidth="1"/>
    <col min="17" max="17" width="12.57421875" style="135" bestFit="1" customWidth="1"/>
    <col min="18" max="16384" width="11.421875" style="135" customWidth="1"/>
  </cols>
  <sheetData>
    <row r="2" spans="1:14" ht="18" customHeight="1">
      <c r="A2" s="681" t="s">
        <v>287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1:14" s="98" customFormat="1" ht="18" customHeight="1">
      <c r="A3" s="681" t="s">
        <v>104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ht="14.25">
      <c r="A4" s="146" t="s">
        <v>103</v>
      </c>
      <c r="B4" s="679" t="s">
        <v>197</v>
      </c>
      <c r="C4" s="146" t="s">
        <v>102</v>
      </c>
      <c r="D4" s="145" t="s">
        <v>101</v>
      </c>
      <c r="E4" s="144" t="s">
        <v>170</v>
      </c>
      <c r="M4" s="146" t="s">
        <v>255</v>
      </c>
      <c r="N4" s="146" t="s">
        <v>8</v>
      </c>
    </row>
    <row r="5" spans="1:14" ht="14.25">
      <c r="A5" s="143" t="s">
        <v>100</v>
      </c>
      <c r="B5" s="680"/>
      <c r="C5" s="143" t="s">
        <v>99</v>
      </c>
      <c r="D5" s="142" t="s">
        <v>98</v>
      </c>
      <c r="E5" s="141" t="s">
        <v>97</v>
      </c>
      <c r="M5" s="382" t="s">
        <v>256</v>
      </c>
      <c r="N5" s="382" t="s">
        <v>257</v>
      </c>
    </row>
    <row r="6" spans="1:14" ht="18">
      <c r="A6" s="427" t="s">
        <v>294</v>
      </c>
      <c r="B6" s="208" t="s">
        <v>22</v>
      </c>
      <c r="C6" s="209" t="s">
        <v>288</v>
      </c>
      <c r="D6" s="260">
        <v>4.96</v>
      </c>
      <c r="E6" s="260"/>
      <c r="M6" s="381"/>
      <c r="N6" s="384"/>
    </row>
    <row r="7" spans="1:14" ht="18">
      <c r="A7" s="138" t="s">
        <v>289</v>
      </c>
      <c r="B7" s="301" t="s">
        <v>21</v>
      </c>
      <c r="C7" s="140" t="s">
        <v>290</v>
      </c>
      <c r="D7" s="260">
        <v>1.84</v>
      </c>
      <c r="E7" s="261"/>
      <c r="M7" s="22"/>
      <c r="N7" s="385"/>
    </row>
    <row r="8" spans="1:14" ht="18">
      <c r="A8" s="138" t="s">
        <v>291</v>
      </c>
      <c r="B8" s="301" t="s">
        <v>21</v>
      </c>
      <c r="C8" s="140" t="s">
        <v>292</v>
      </c>
      <c r="D8" s="260">
        <v>3.34</v>
      </c>
      <c r="E8" s="261"/>
      <c r="M8" s="22"/>
      <c r="N8" s="385"/>
    </row>
    <row r="9" spans="1:14" ht="18">
      <c r="A9" s="138" t="s">
        <v>295</v>
      </c>
      <c r="B9" s="301" t="s">
        <v>23</v>
      </c>
      <c r="C9" s="140" t="s">
        <v>293</v>
      </c>
      <c r="D9" s="260">
        <v>3.01</v>
      </c>
      <c r="E9" s="261"/>
      <c r="M9" s="22"/>
      <c r="N9" s="385">
        <v>3</v>
      </c>
    </row>
    <row r="10" spans="1:14" ht="18">
      <c r="A10" s="139" t="s">
        <v>74</v>
      </c>
      <c r="B10" s="302"/>
      <c r="C10" s="272" t="s">
        <v>16</v>
      </c>
      <c r="D10" s="262">
        <f>SUM(D6:D9)</f>
        <v>13.15</v>
      </c>
      <c r="E10" s="262">
        <f>31-D10</f>
        <v>17.85</v>
      </c>
      <c r="M10" s="383">
        <f>D10/31</f>
        <v>0.4241935483870968</v>
      </c>
      <c r="N10" s="161"/>
    </row>
    <row r="11" spans="1:14" ht="18">
      <c r="A11" s="277" t="s">
        <v>299</v>
      </c>
      <c r="B11" s="303" t="s">
        <v>23</v>
      </c>
      <c r="C11" s="278" t="s">
        <v>300</v>
      </c>
      <c r="D11" s="279">
        <v>1.77</v>
      </c>
      <c r="E11" s="276"/>
      <c r="M11" s="381"/>
      <c r="N11" s="384"/>
    </row>
    <row r="12" spans="1:14" ht="18">
      <c r="A12" s="277" t="s">
        <v>301</v>
      </c>
      <c r="B12" s="303" t="s">
        <v>302</v>
      </c>
      <c r="C12" s="278" t="s">
        <v>303</v>
      </c>
      <c r="D12" s="279">
        <v>1.58</v>
      </c>
      <c r="E12" s="276"/>
      <c r="M12" s="22"/>
      <c r="N12" s="385"/>
    </row>
    <row r="13" spans="1:14" ht="18">
      <c r="A13" s="277" t="s">
        <v>304</v>
      </c>
      <c r="B13" s="303" t="s">
        <v>258</v>
      </c>
      <c r="C13" s="278" t="s">
        <v>305</v>
      </c>
      <c r="D13" s="279">
        <v>6.75</v>
      </c>
      <c r="E13" s="276"/>
      <c r="M13" s="22"/>
      <c r="N13" s="385"/>
    </row>
    <row r="14" spans="1:14" ht="18">
      <c r="A14" s="277" t="s">
        <v>306</v>
      </c>
      <c r="B14" s="303" t="s">
        <v>21</v>
      </c>
      <c r="C14" s="278" t="s">
        <v>307</v>
      </c>
      <c r="D14" s="279">
        <v>2.85</v>
      </c>
      <c r="E14" s="276"/>
      <c r="M14" s="22"/>
      <c r="N14" s="385"/>
    </row>
    <row r="15" spans="1:16" ht="18">
      <c r="A15" s="277" t="s">
        <v>308</v>
      </c>
      <c r="B15" s="303" t="s">
        <v>21</v>
      </c>
      <c r="C15" s="278" t="s">
        <v>309</v>
      </c>
      <c r="D15" s="279">
        <v>3.17</v>
      </c>
      <c r="E15" s="276"/>
      <c r="M15" s="22"/>
      <c r="N15" s="385"/>
      <c r="P15" s="253" t="s">
        <v>12</v>
      </c>
    </row>
    <row r="16" spans="1:16" ht="18">
      <c r="A16" s="277" t="s">
        <v>310</v>
      </c>
      <c r="B16" s="303" t="s">
        <v>22</v>
      </c>
      <c r="C16" s="278" t="s">
        <v>311</v>
      </c>
      <c r="D16" s="279">
        <v>5.73</v>
      </c>
      <c r="E16" s="276"/>
      <c r="M16" s="22"/>
      <c r="N16" s="385">
        <v>6</v>
      </c>
      <c r="P16" s="253" t="s">
        <v>12</v>
      </c>
    </row>
    <row r="17" spans="1:14" ht="18">
      <c r="A17" s="139" t="s">
        <v>74</v>
      </c>
      <c r="B17" s="302"/>
      <c r="C17" s="272" t="s">
        <v>17</v>
      </c>
      <c r="D17" s="262">
        <f>SUM(D11:D16)</f>
        <v>21.849999999999998</v>
      </c>
      <c r="E17" s="262">
        <f>28-D17</f>
        <v>6.150000000000002</v>
      </c>
      <c r="F17" s="96"/>
      <c r="G17" s="96"/>
      <c r="H17" s="96"/>
      <c r="I17" s="96"/>
      <c r="J17" s="96"/>
      <c r="K17" s="96"/>
      <c r="L17" s="96"/>
      <c r="M17" s="383">
        <f>D17/28</f>
        <v>0.7803571428571427</v>
      </c>
      <c r="N17" s="161"/>
    </row>
    <row r="18" spans="1:14" ht="18">
      <c r="A18" s="277" t="s">
        <v>319</v>
      </c>
      <c r="B18" s="303" t="s">
        <v>21</v>
      </c>
      <c r="C18" s="278" t="s">
        <v>320</v>
      </c>
      <c r="D18" s="279">
        <v>1.52</v>
      </c>
      <c r="E18" s="276"/>
      <c r="F18" s="96"/>
      <c r="G18" s="96"/>
      <c r="H18" s="96"/>
      <c r="I18" s="96"/>
      <c r="J18" s="96"/>
      <c r="K18" s="96"/>
      <c r="L18" s="96"/>
      <c r="M18" s="685">
        <f>D23/31</f>
        <v>0.3909677419354839</v>
      </c>
      <c r="N18" s="688">
        <v>4</v>
      </c>
    </row>
    <row r="19" spans="1:14" ht="18">
      <c r="A19" s="277" t="s">
        <v>321</v>
      </c>
      <c r="B19" s="303" t="s">
        <v>21</v>
      </c>
      <c r="C19" s="278" t="s">
        <v>322</v>
      </c>
      <c r="D19" s="279">
        <v>1.93</v>
      </c>
      <c r="E19" s="276"/>
      <c r="F19" s="96"/>
      <c r="G19" s="96"/>
      <c r="H19" s="96"/>
      <c r="I19" s="96"/>
      <c r="J19" s="96"/>
      <c r="K19" s="96"/>
      <c r="L19" s="96"/>
      <c r="M19" s="686"/>
      <c r="N19" s="689"/>
    </row>
    <row r="20" spans="1:14" ht="18">
      <c r="A20" s="277" t="s">
        <v>323</v>
      </c>
      <c r="B20" s="303" t="s">
        <v>22</v>
      </c>
      <c r="C20" s="278" t="s">
        <v>324</v>
      </c>
      <c r="D20" s="279">
        <v>2.27</v>
      </c>
      <c r="E20" s="276"/>
      <c r="F20" s="96"/>
      <c r="G20" s="96"/>
      <c r="H20" s="96"/>
      <c r="I20" s="96"/>
      <c r="J20" s="96"/>
      <c r="K20" s="96"/>
      <c r="L20" s="96"/>
      <c r="M20" s="686"/>
      <c r="N20" s="689"/>
    </row>
    <row r="21" spans="1:14" ht="18">
      <c r="A21" s="277" t="s">
        <v>325</v>
      </c>
      <c r="B21" s="303" t="s">
        <v>21</v>
      </c>
      <c r="C21" s="278" t="s">
        <v>326</v>
      </c>
      <c r="D21" s="279">
        <v>3.59</v>
      </c>
      <c r="E21" s="276"/>
      <c r="F21" s="96"/>
      <c r="G21" s="96"/>
      <c r="H21" s="96"/>
      <c r="I21" s="96"/>
      <c r="J21" s="96"/>
      <c r="K21" s="96"/>
      <c r="L21" s="96"/>
      <c r="M21" s="686"/>
      <c r="N21" s="689"/>
    </row>
    <row r="22" spans="1:14" ht="18">
      <c r="A22" s="277" t="s">
        <v>328</v>
      </c>
      <c r="B22" s="303" t="s">
        <v>23</v>
      </c>
      <c r="C22" s="278" t="s">
        <v>329</v>
      </c>
      <c r="D22" s="279">
        <v>2.81</v>
      </c>
      <c r="E22" s="276"/>
      <c r="F22" s="96"/>
      <c r="G22" s="96"/>
      <c r="H22" s="96"/>
      <c r="I22" s="96"/>
      <c r="J22" s="96"/>
      <c r="K22" s="96"/>
      <c r="L22" s="96"/>
      <c r="M22" s="686"/>
      <c r="N22" s="689"/>
    </row>
    <row r="23" spans="1:18" ht="18">
      <c r="A23" s="139" t="s">
        <v>74</v>
      </c>
      <c r="B23" s="302"/>
      <c r="C23" s="272" t="s">
        <v>18</v>
      </c>
      <c r="D23" s="262">
        <f>SUM(D18:D22)</f>
        <v>12.120000000000001</v>
      </c>
      <c r="E23" s="262">
        <f>31-D23</f>
        <v>18.88</v>
      </c>
      <c r="F23" s="96"/>
      <c r="G23" s="96"/>
      <c r="H23" s="96"/>
      <c r="I23" s="96"/>
      <c r="J23" s="96"/>
      <c r="K23" s="96"/>
      <c r="L23" s="96"/>
      <c r="M23" s="687"/>
      <c r="N23" s="690"/>
      <c r="R23" s="253" t="s">
        <v>12</v>
      </c>
    </row>
    <row r="24" spans="1:18" ht="18">
      <c r="A24" s="277" t="s">
        <v>328</v>
      </c>
      <c r="B24" s="303" t="s">
        <v>23</v>
      </c>
      <c r="C24" s="278" t="s">
        <v>330</v>
      </c>
      <c r="D24" s="279">
        <v>5.76</v>
      </c>
      <c r="E24" s="276"/>
      <c r="F24" s="96"/>
      <c r="G24" s="96"/>
      <c r="H24" s="96"/>
      <c r="I24" s="96"/>
      <c r="J24" s="96"/>
      <c r="K24" s="96"/>
      <c r="L24" s="96"/>
      <c r="M24" s="384"/>
      <c r="N24" s="384"/>
      <c r="P24" s="253" t="s">
        <v>12</v>
      </c>
      <c r="Q24" s="453"/>
      <c r="R24" s="253"/>
    </row>
    <row r="25" spans="1:18" ht="18">
      <c r="A25" s="277" t="s">
        <v>331</v>
      </c>
      <c r="B25" s="303" t="s">
        <v>332</v>
      </c>
      <c r="C25" s="278" t="s">
        <v>333</v>
      </c>
      <c r="D25" s="279">
        <v>4.09</v>
      </c>
      <c r="E25" s="276"/>
      <c r="F25" s="96"/>
      <c r="G25" s="96"/>
      <c r="H25" s="96"/>
      <c r="I25" s="96"/>
      <c r="J25" s="96"/>
      <c r="K25" s="96"/>
      <c r="L25" s="96"/>
      <c r="M25" s="385"/>
      <c r="N25" s="385"/>
      <c r="P25" s="253" t="s">
        <v>12</v>
      </c>
      <c r="R25" s="253"/>
    </row>
    <row r="26" spans="1:18" ht="18">
      <c r="A26" s="277" t="s">
        <v>334</v>
      </c>
      <c r="B26" s="303" t="s">
        <v>258</v>
      </c>
      <c r="C26" s="278" t="s">
        <v>335</v>
      </c>
      <c r="D26" s="279">
        <v>5.01</v>
      </c>
      <c r="E26" s="276"/>
      <c r="F26" s="96"/>
      <c r="G26" s="96"/>
      <c r="H26" s="96"/>
      <c r="I26" s="96"/>
      <c r="J26" s="96"/>
      <c r="K26" s="96"/>
      <c r="L26" s="96"/>
      <c r="M26" s="385"/>
      <c r="N26" s="385"/>
      <c r="P26" s="253" t="s">
        <v>12</v>
      </c>
      <c r="Q26" s="253" t="s">
        <v>12</v>
      </c>
      <c r="R26" s="253"/>
    </row>
    <row r="27" spans="1:18" ht="18">
      <c r="A27" s="277" t="s">
        <v>336</v>
      </c>
      <c r="B27" s="303" t="s">
        <v>21</v>
      </c>
      <c r="C27" s="278" t="s">
        <v>337</v>
      </c>
      <c r="D27" s="279">
        <v>4.38</v>
      </c>
      <c r="E27" s="276"/>
      <c r="F27" s="96"/>
      <c r="G27" s="96"/>
      <c r="H27" s="96"/>
      <c r="I27" s="96"/>
      <c r="J27" s="96"/>
      <c r="K27" s="96"/>
      <c r="L27" s="96"/>
      <c r="M27" s="385"/>
      <c r="N27" s="385"/>
      <c r="P27" s="253"/>
      <c r="Q27" s="253"/>
      <c r="R27" s="253"/>
    </row>
    <row r="28" spans="1:18" ht="18">
      <c r="A28" s="277" t="s">
        <v>338</v>
      </c>
      <c r="B28" s="303" t="s">
        <v>339</v>
      </c>
      <c r="C28" s="278" t="s">
        <v>340</v>
      </c>
      <c r="D28" s="279">
        <v>2.1</v>
      </c>
      <c r="E28" s="276"/>
      <c r="F28" s="96"/>
      <c r="G28" s="96"/>
      <c r="H28" s="96"/>
      <c r="I28" s="96"/>
      <c r="J28" s="96"/>
      <c r="K28" s="96"/>
      <c r="L28" s="96"/>
      <c r="M28" s="385"/>
      <c r="N28" s="385"/>
      <c r="P28" s="253"/>
      <c r="Q28" s="253"/>
      <c r="R28" s="253"/>
    </row>
    <row r="29" spans="1:18" ht="18">
      <c r="A29" s="277" t="s">
        <v>341</v>
      </c>
      <c r="B29" s="303" t="s">
        <v>302</v>
      </c>
      <c r="C29" s="278" t="s">
        <v>342</v>
      </c>
      <c r="D29" s="279">
        <v>1.31</v>
      </c>
      <c r="E29" s="276"/>
      <c r="F29" s="96"/>
      <c r="G29" s="96"/>
      <c r="H29" s="96"/>
      <c r="I29" s="96"/>
      <c r="J29" s="96"/>
      <c r="K29" s="96"/>
      <c r="L29" s="96"/>
      <c r="M29" s="385"/>
      <c r="N29" s="385"/>
      <c r="P29" s="253"/>
      <c r="Q29" s="253"/>
      <c r="R29" s="253"/>
    </row>
    <row r="30" spans="1:18" ht="18">
      <c r="A30" s="277" t="s">
        <v>343</v>
      </c>
      <c r="B30" s="303" t="s">
        <v>21</v>
      </c>
      <c r="C30" s="278" t="s">
        <v>344</v>
      </c>
      <c r="D30" s="279">
        <v>4.01</v>
      </c>
      <c r="E30" s="276"/>
      <c r="F30" s="96"/>
      <c r="G30" s="96"/>
      <c r="H30" s="96"/>
      <c r="I30" s="96"/>
      <c r="J30" s="96"/>
      <c r="K30" s="96"/>
      <c r="L30" s="96"/>
      <c r="M30" s="385"/>
      <c r="N30" s="385"/>
      <c r="P30" s="253" t="s">
        <v>12</v>
      </c>
      <c r="R30" s="253"/>
    </row>
    <row r="31" spans="1:18" ht="18">
      <c r="A31" s="277" t="s">
        <v>345</v>
      </c>
      <c r="B31" s="303" t="s">
        <v>22</v>
      </c>
      <c r="C31" s="278" t="s">
        <v>346</v>
      </c>
      <c r="D31" s="279">
        <v>1.42</v>
      </c>
      <c r="E31" s="276"/>
      <c r="F31" s="96"/>
      <c r="G31" s="96"/>
      <c r="H31" s="96"/>
      <c r="I31" s="96"/>
      <c r="J31" s="96"/>
      <c r="K31" s="96"/>
      <c r="L31" s="96"/>
      <c r="M31" s="385"/>
      <c r="N31" s="385"/>
      <c r="P31" s="253" t="s">
        <v>12</v>
      </c>
      <c r="R31" s="253"/>
    </row>
    <row r="32" spans="1:18" ht="18">
      <c r="A32" s="139" t="s">
        <v>74</v>
      </c>
      <c r="B32" s="302"/>
      <c r="C32" s="272" t="s">
        <v>59</v>
      </c>
      <c r="D32" s="262">
        <f>SUM(D24:D31)</f>
        <v>28.08</v>
      </c>
      <c r="E32" s="262">
        <f>30-D32</f>
        <v>1.9200000000000017</v>
      </c>
      <c r="F32" s="96"/>
      <c r="G32" s="96"/>
      <c r="H32" s="96"/>
      <c r="I32" s="96"/>
      <c r="J32" s="96"/>
      <c r="K32" s="96"/>
      <c r="L32" s="96"/>
      <c r="M32" s="383">
        <f>D32/30</f>
        <v>0.9359999999999999</v>
      </c>
      <c r="N32" s="161">
        <v>7</v>
      </c>
      <c r="P32" s="253" t="s">
        <v>12</v>
      </c>
      <c r="R32" s="253"/>
    </row>
    <row r="33" spans="1:22" ht="18">
      <c r="A33" s="277" t="s">
        <v>345</v>
      </c>
      <c r="B33" s="303" t="s">
        <v>22</v>
      </c>
      <c r="C33" s="278" t="s">
        <v>350</v>
      </c>
      <c r="D33" s="279">
        <v>4.55</v>
      </c>
      <c r="E33" s="276"/>
      <c r="F33" s="96"/>
      <c r="G33" s="96"/>
      <c r="H33" s="96"/>
      <c r="I33" s="96"/>
      <c r="J33" s="96"/>
      <c r="K33" s="96"/>
      <c r="L33" s="96"/>
      <c r="M33" s="384"/>
      <c r="N33" s="384"/>
      <c r="P33" s="253" t="s">
        <v>12</v>
      </c>
      <c r="R33" s="253"/>
      <c r="V33" s="253" t="s">
        <v>12</v>
      </c>
    </row>
    <row r="34" spans="1:22" ht="18">
      <c r="A34" s="277" t="s">
        <v>351</v>
      </c>
      <c r="B34" s="303" t="s">
        <v>21</v>
      </c>
      <c r="C34" s="278" t="s">
        <v>352</v>
      </c>
      <c r="D34" s="279">
        <v>3.6</v>
      </c>
      <c r="E34" s="276"/>
      <c r="F34" s="96"/>
      <c r="G34" s="96"/>
      <c r="H34" s="96"/>
      <c r="I34" s="96"/>
      <c r="J34" s="96"/>
      <c r="K34" s="96"/>
      <c r="L34" s="96"/>
      <c r="M34" s="385"/>
      <c r="N34" s="385"/>
      <c r="P34" s="253"/>
      <c r="R34" s="253"/>
      <c r="V34" s="253"/>
    </row>
    <row r="35" spans="1:22" ht="18">
      <c r="A35" s="277" t="s">
        <v>353</v>
      </c>
      <c r="B35" s="303" t="s">
        <v>302</v>
      </c>
      <c r="C35" s="278" t="s">
        <v>354</v>
      </c>
      <c r="D35" s="279">
        <v>0.94</v>
      </c>
      <c r="E35" s="276"/>
      <c r="F35" s="96"/>
      <c r="G35" s="96"/>
      <c r="H35" s="96"/>
      <c r="I35" s="96"/>
      <c r="J35" s="96"/>
      <c r="K35" s="96"/>
      <c r="L35" s="96"/>
      <c r="M35" s="385"/>
      <c r="N35" s="385"/>
      <c r="P35" s="253"/>
      <c r="R35" s="253"/>
      <c r="V35" s="253"/>
    </row>
    <row r="36" spans="1:22" ht="18">
      <c r="A36" s="277" t="s">
        <v>355</v>
      </c>
      <c r="B36" s="303" t="s">
        <v>21</v>
      </c>
      <c r="C36" s="278" t="s">
        <v>356</v>
      </c>
      <c r="D36" s="279">
        <v>0.75</v>
      </c>
      <c r="E36" s="276"/>
      <c r="F36" s="96"/>
      <c r="G36" s="96"/>
      <c r="H36" s="96"/>
      <c r="I36" s="96"/>
      <c r="J36" s="96"/>
      <c r="K36" s="96"/>
      <c r="L36" s="96"/>
      <c r="M36" s="385"/>
      <c r="N36" s="385"/>
      <c r="P36" s="253" t="s">
        <v>12</v>
      </c>
      <c r="R36" s="253"/>
      <c r="V36" s="253"/>
    </row>
    <row r="37" spans="1:18" ht="18">
      <c r="A37" s="139" t="s">
        <v>74</v>
      </c>
      <c r="B37" s="302"/>
      <c r="C37" s="272" t="s">
        <v>58</v>
      </c>
      <c r="D37" s="262">
        <f>SUM(D33:D36)</f>
        <v>9.84</v>
      </c>
      <c r="E37" s="262">
        <f>31-D37</f>
        <v>21.16</v>
      </c>
      <c r="F37" s="96"/>
      <c r="G37" s="96"/>
      <c r="H37" s="96"/>
      <c r="I37" s="96"/>
      <c r="J37" s="96"/>
      <c r="K37" s="96"/>
      <c r="L37" s="96"/>
      <c r="M37" s="383">
        <f>D37/31</f>
        <v>0.3174193548387097</v>
      </c>
      <c r="N37" s="161">
        <v>3</v>
      </c>
      <c r="O37" s="253" t="s">
        <v>12</v>
      </c>
      <c r="R37" s="253"/>
    </row>
    <row r="38" spans="1:18" ht="18">
      <c r="A38" s="277" t="s">
        <v>355</v>
      </c>
      <c r="B38" s="303" t="s">
        <v>21</v>
      </c>
      <c r="C38" s="278" t="s">
        <v>390</v>
      </c>
      <c r="D38" s="279">
        <v>1.43</v>
      </c>
      <c r="E38" s="276"/>
      <c r="F38" s="96"/>
      <c r="G38" s="96"/>
      <c r="H38" s="96"/>
      <c r="I38" s="96"/>
      <c r="J38" s="96"/>
      <c r="K38" s="96"/>
      <c r="L38" s="96"/>
      <c r="M38" s="384"/>
      <c r="N38" s="384"/>
      <c r="R38" s="253"/>
    </row>
    <row r="39" spans="1:18" ht="18">
      <c r="A39" s="277" t="s">
        <v>391</v>
      </c>
      <c r="B39" s="303" t="s">
        <v>21</v>
      </c>
      <c r="C39" s="278" t="s">
        <v>392</v>
      </c>
      <c r="D39" s="279">
        <v>3.56</v>
      </c>
      <c r="E39" s="276"/>
      <c r="F39" s="96"/>
      <c r="G39" s="96"/>
      <c r="H39" s="96"/>
      <c r="I39" s="96"/>
      <c r="J39" s="96"/>
      <c r="K39" s="96"/>
      <c r="L39" s="96"/>
      <c r="M39" s="385"/>
      <c r="N39" s="385"/>
      <c r="R39" s="253"/>
    </row>
    <row r="40" spans="1:18" ht="18">
      <c r="A40" s="277" t="s">
        <v>393</v>
      </c>
      <c r="B40" s="303" t="s">
        <v>21</v>
      </c>
      <c r="C40" s="278" t="s">
        <v>394</v>
      </c>
      <c r="D40" s="279">
        <v>2.51</v>
      </c>
      <c r="E40" s="276"/>
      <c r="F40" s="96"/>
      <c r="G40" s="96"/>
      <c r="H40" s="96"/>
      <c r="I40" s="96"/>
      <c r="J40" s="96"/>
      <c r="K40" s="96"/>
      <c r="L40" s="96"/>
      <c r="M40" s="385"/>
      <c r="N40" s="385"/>
      <c r="R40" s="253"/>
    </row>
    <row r="41" spans="1:18" ht="18">
      <c r="A41" s="277" t="s">
        <v>395</v>
      </c>
      <c r="B41" s="303" t="s">
        <v>302</v>
      </c>
      <c r="C41" s="278" t="s">
        <v>396</v>
      </c>
      <c r="D41" s="279">
        <v>3.21</v>
      </c>
      <c r="E41" s="276"/>
      <c r="F41" s="96"/>
      <c r="G41" s="96"/>
      <c r="H41" s="96"/>
      <c r="I41" s="96"/>
      <c r="J41" s="96"/>
      <c r="K41" s="96"/>
      <c r="L41" s="96"/>
      <c r="M41" s="385"/>
      <c r="N41" s="385">
        <v>4</v>
      </c>
      <c r="R41" s="253"/>
    </row>
    <row r="42" spans="1:18" ht="18">
      <c r="A42" s="139" t="s">
        <v>74</v>
      </c>
      <c r="B42" s="302"/>
      <c r="C42" s="272" t="s">
        <v>57</v>
      </c>
      <c r="D42" s="262">
        <f>SUM(D38:D41)</f>
        <v>10.71</v>
      </c>
      <c r="E42" s="262">
        <f>30-D42</f>
        <v>19.29</v>
      </c>
      <c r="F42" s="96"/>
      <c r="G42" s="96"/>
      <c r="H42" s="96"/>
      <c r="I42" s="96"/>
      <c r="J42" s="96"/>
      <c r="K42" s="96"/>
      <c r="L42" s="96"/>
      <c r="M42" s="386">
        <f>D42/30</f>
        <v>0.35700000000000004</v>
      </c>
      <c r="N42" s="387"/>
      <c r="R42" s="253"/>
    </row>
    <row r="43" spans="1:18" ht="18">
      <c r="A43" s="308" t="s">
        <v>406</v>
      </c>
      <c r="B43" s="303" t="s">
        <v>21</v>
      </c>
      <c r="C43" s="278" t="s">
        <v>408</v>
      </c>
      <c r="D43" s="279">
        <v>3.39</v>
      </c>
      <c r="E43" s="276"/>
      <c r="F43" s="96"/>
      <c r="G43" s="96"/>
      <c r="H43" s="96"/>
      <c r="I43" s="96"/>
      <c r="J43" s="96"/>
      <c r="K43" s="96"/>
      <c r="L43" s="96"/>
      <c r="M43" s="384"/>
      <c r="N43" s="384"/>
      <c r="P43" s="253"/>
      <c r="R43" s="253"/>
    </row>
    <row r="44" spans="1:18" ht="18">
      <c r="A44" s="277" t="s">
        <v>407</v>
      </c>
      <c r="B44" s="303" t="s">
        <v>21</v>
      </c>
      <c r="C44" s="278" t="s">
        <v>409</v>
      </c>
      <c r="D44" s="279">
        <v>3.71</v>
      </c>
      <c r="E44" s="276"/>
      <c r="F44" s="96"/>
      <c r="G44" s="96"/>
      <c r="H44" s="96"/>
      <c r="I44" s="96"/>
      <c r="J44" s="96"/>
      <c r="K44" s="96"/>
      <c r="L44" s="96"/>
      <c r="M44" s="385"/>
      <c r="N44" s="385"/>
      <c r="P44" s="253" t="s">
        <v>12</v>
      </c>
      <c r="R44" s="253"/>
    </row>
    <row r="45" spans="1:18" ht="18">
      <c r="A45" s="277" t="s">
        <v>410</v>
      </c>
      <c r="B45" s="303" t="s">
        <v>23</v>
      </c>
      <c r="C45" s="278" t="s">
        <v>411</v>
      </c>
      <c r="D45" s="279">
        <v>4.73</v>
      </c>
      <c r="E45" s="276"/>
      <c r="F45" s="96"/>
      <c r="G45" s="96"/>
      <c r="H45" s="96"/>
      <c r="I45" s="96"/>
      <c r="J45" s="96"/>
      <c r="K45" s="96"/>
      <c r="L45" s="96"/>
      <c r="M45" s="385"/>
      <c r="N45" s="385"/>
      <c r="O45" s="253" t="s">
        <v>12</v>
      </c>
      <c r="P45" s="253" t="s">
        <v>12</v>
      </c>
      <c r="R45" s="253" t="s">
        <v>12</v>
      </c>
    </row>
    <row r="46" spans="1:18" ht="18">
      <c r="A46" s="139" t="s">
        <v>74</v>
      </c>
      <c r="B46" s="302"/>
      <c r="C46" s="272" t="s">
        <v>36</v>
      </c>
      <c r="D46" s="262">
        <f>SUM(D43:D45)</f>
        <v>11.83</v>
      </c>
      <c r="E46" s="262">
        <f>31-D46</f>
        <v>19.17</v>
      </c>
      <c r="F46" s="96"/>
      <c r="G46" s="96"/>
      <c r="H46" s="96"/>
      <c r="I46" s="96"/>
      <c r="J46" s="96"/>
      <c r="K46" s="96"/>
      <c r="L46" s="96"/>
      <c r="M46" s="386">
        <f>D46/31</f>
        <v>0.38161290322580643</v>
      </c>
      <c r="N46" s="161">
        <v>2</v>
      </c>
      <c r="R46" s="253"/>
    </row>
    <row r="47" spans="1:18" ht="18">
      <c r="A47" s="335" t="s">
        <v>410</v>
      </c>
      <c r="B47" s="336" t="s">
        <v>23</v>
      </c>
      <c r="C47" s="278" t="s">
        <v>425</v>
      </c>
      <c r="D47" s="279">
        <v>1.26</v>
      </c>
      <c r="E47" s="276"/>
      <c r="F47" s="96"/>
      <c r="G47" s="96"/>
      <c r="H47" s="96"/>
      <c r="I47" s="96"/>
      <c r="J47" s="96"/>
      <c r="K47" s="96"/>
      <c r="L47" s="96"/>
      <c r="M47" s="384"/>
      <c r="N47" s="384"/>
      <c r="P47" s="253" t="s">
        <v>12</v>
      </c>
      <c r="R47" s="253"/>
    </row>
    <row r="48" spans="1:18" ht="18">
      <c r="A48" s="277" t="s">
        <v>426</v>
      </c>
      <c r="B48" s="303" t="s">
        <v>302</v>
      </c>
      <c r="C48" s="278" t="s">
        <v>427</v>
      </c>
      <c r="D48" s="279">
        <v>1.64</v>
      </c>
      <c r="E48" s="276"/>
      <c r="F48" s="96"/>
      <c r="G48" s="96"/>
      <c r="H48" s="96"/>
      <c r="I48" s="96"/>
      <c r="J48" s="96"/>
      <c r="K48" s="96"/>
      <c r="L48" s="96"/>
      <c r="M48" s="385"/>
      <c r="N48" s="385"/>
      <c r="R48" s="253"/>
    </row>
    <row r="49" spans="1:18" ht="18">
      <c r="A49" s="277" t="s">
        <v>428</v>
      </c>
      <c r="B49" s="303" t="s">
        <v>21</v>
      </c>
      <c r="C49" s="278" t="s">
        <v>429</v>
      </c>
      <c r="D49" s="279">
        <v>1.22</v>
      </c>
      <c r="E49" s="276"/>
      <c r="F49" s="96"/>
      <c r="G49" s="96"/>
      <c r="H49" s="96"/>
      <c r="I49" s="96"/>
      <c r="J49" s="96"/>
      <c r="K49" s="96"/>
      <c r="L49" s="96"/>
      <c r="M49" s="385"/>
      <c r="N49" s="385"/>
      <c r="Q49" s="253" t="s">
        <v>12</v>
      </c>
      <c r="R49" s="253" t="s">
        <v>12</v>
      </c>
    </row>
    <row r="50" spans="1:18" ht="18">
      <c r="A50" s="277" t="s">
        <v>430</v>
      </c>
      <c r="B50" s="303" t="s">
        <v>21</v>
      </c>
      <c r="C50" s="278" t="s">
        <v>431</v>
      </c>
      <c r="D50" s="279">
        <v>4.31</v>
      </c>
      <c r="E50" s="276"/>
      <c r="F50" s="96"/>
      <c r="G50" s="96"/>
      <c r="H50" s="96"/>
      <c r="I50" s="96"/>
      <c r="J50" s="96"/>
      <c r="K50" s="96"/>
      <c r="L50" s="96"/>
      <c r="M50" s="385"/>
      <c r="N50" s="385"/>
      <c r="R50" s="253"/>
    </row>
    <row r="51" spans="1:18" ht="18">
      <c r="A51" s="277" t="s">
        <v>432</v>
      </c>
      <c r="B51" s="303" t="s">
        <v>22</v>
      </c>
      <c r="C51" s="278" t="s">
        <v>433</v>
      </c>
      <c r="D51" s="279">
        <v>6.47</v>
      </c>
      <c r="E51" s="276"/>
      <c r="F51" s="96"/>
      <c r="G51" s="96"/>
      <c r="H51" s="96"/>
      <c r="I51" s="96"/>
      <c r="J51" s="96"/>
      <c r="K51" s="96"/>
      <c r="L51" s="96"/>
      <c r="M51" s="385"/>
      <c r="N51" s="385"/>
      <c r="R51" s="253"/>
    </row>
    <row r="52" spans="1:20" ht="18">
      <c r="A52" s="139" t="s">
        <v>74</v>
      </c>
      <c r="B52" s="302"/>
      <c r="C52" s="272" t="s">
        <v>37</v>
      </c>
      <c r="D52" s="262">
        <f>SUM(D47:D51)</f>
        <v>14.899999999999999</v>
      </c>
      <c r="E52" s="262">
        <f>31-D52</f>
        <v>16.1</v>
      </c>
      <c r="F52" s="96"/>
      <c r="G52" s="96"/>
      <c r="H52" s="96"/>
      <c r="I52" s="96"/>
      <c r="J52" s="96"/>
      <c r="K52" s="96"/>
      <c r="L52" s="96"/>
      <c r="M52" s="386">
        <f>D52/31</f>
        <v>0.48064516129032253</v>
      </c>
      <c r="N52" s="161">
        <v>4</v>
      </c>
      <c r="R52" s="253"/>
      <c r="S52" s="283" t="s">
        <v>12</v>
      </c>
      <c r="T52" s="253" t="s">
        <v>12</v>
      </c>
    </row>
    <row r="53" spans="1:21" ht="18">
      <c r="A53" s="277" t="s">
        <v>432</v>
      </c>
      <c r="B53" s="303" t="s">
        <v>22</v>
      </c>
      <c r="C53" s="278" t="s">
        <v>442</v>
      </c>
      <c r="D53" s="279">
        <v>2.47</v>
      </c>
      <c r="E53" s="276"/>
      <c r="F53" s="96"/>
      <c r="G53" s="96"/>
      <c r="H53" s="96"/>
      <c r="I53" s="96"/>
      <c r="J53" s="96"/>
      <c r="K53" s="96"/>
      <c r="L53" s="96"/>
      <c r="M53" s="384"/>
      <c r="N53" s="384"/>
      <c r="R53" s="253"/>
      <c r="T53" s="253"/>
      <c r="U53" s="253" t="s">
        <v>12</v>
      </c>
    </row>
    <row r="54" spans="1:21" ht="18">
      <c r="A54" s="277" t="s">
        <v>443</v>
      </c>
      <c r="B54" s="303" t="s">
        <v>21</v>
      </c>
      <c r="C54" s="278" t="s">
        <v>444</v>
      </c>
      <c r="D54" s="279">
        <v>0.84</v>
      </c>
      <c r="E54" s="276"/>
      <c r="F54" s="96"/>
      <c r="G54" s="96"/>
      <c r="H54" s="96"/>
      <c r="I54" s="96"/>
      <c r="J54" s="96"/>
      <c r="K54" s="96"/>
      <c r="L54" s="96"/>
      <c r="M54" s="385"/>
      <c r="N54" s="385"/>
      <c r="R54" s="253"/>
      <c r="T54" s="253"/>
      <c r="U54" s="253"/>
    </row>
    <row r="55" spans="1:21" ht="18">
      <c r="A55" s="277" t="s">
        <v>445</v>
      </c>
      <c r="B55" s="303" t="s">
        <v>21</v>
      </c>
      <c r="C55" s="278" t="s">
        <v>446</v>
      </c>
      <c r="D55" s="279">
        <v>2.93</v>
      </c>
      <c r="E55" s="276"/>
      <c r="F55" s="96"/>
      <c r="G55" s="96"/>
      <c r="H55" s="96"/>
      <c r="I55" s="96"/>
      <c r="J55" s="96"/>
      <c r="K55" s="96"/>
      <c r="L55" s="96"/>
      <c r="M55" s="385"/>
      <c r="N55" s="385"/>
      <c r="R55" s="253"/>
      <c r="T55" s="253"/>
      <c r="U55" s="253"/>
    </row>
    <row r="56" spans="1:21" ht="18">
      <c r="A56" s="277" t="s">
        <v>447</v>
      </c>
      <c r="B56" s="303" t="s">
        <v>302</v>
      </c>
      <c r="C56" s="278" t="s">
        <v>448</v>
      </c>
      <c r="D56" s="279">
        <v>1.67</v>
      </c>
      <c r="E56" s="276"/>
      <c r="F56" s="96"/>
      <c r="G56" s="96"/>
      <c r="H56" s="96"/>
      <c r="I56" s="96"/>
      <c r="J56" s="96"/>
      <c r="K56" s="96"/>
      <c r="L56" s="96"/>
      <c r="M56" s="385"/>
      <c r="N56" s="385"/>
      <c r="R56" s="253"/>
      <c r="T56" s="253"/>
      <c r="U56" s="253"/>
    </row>
    <row r="57" spans="1:20" ht="18">
      <c r="A57" s="277" t="s">
        <v>449</v>
      </c>
      <c r="B57" s="303" t="s">
        <v>151</v>
      </c>
      <c r="C57" s="278" t="s">
        <v>450</v>
      </c>
      <c r="D57" s="279">
        <v>1.31</v>
      </c>
      <c r="E57" s="276"/>
      <c r="F57" s="96"/>
      <c r="G57" s="96"/>
      <c r="H57" s="96"/>
      <c r="I57" s="96"/>
      <c r="J57" s="96"/>
      <c r="K57" s="96"/>
      <c r="L57" s="96"/>
      <c r="M57" s="385"/>
      <c r="N57" s="385"/>
      <c r="R57" s="253"/>
      <c r="T57" s="253"/>
    </row>
    <row r="58" spans="1:20" ht="18">
      <c r="A58" s="139" t="s">
        <v>74</v>
      </c>
      <c r="B58" s="302"/>
      <c r="C58" s="272" t="s">
        <v>38</v>
      </c>
      <c r="D58" s="262">
        <f>SUM(D53:D57)</f>
        <v>9.22</v>
      </c>
      <c r="E58" s="262">
        <f>30-9.22</f>
        <v>20.78</v>
      </c>
      <c r="F58" s="96"/>
      <c r="G58" s="96"/>
      <c r="H58" s="96"/>
      <c r="I58" s="96"/>
      <c r="J58" s="96"/>
      <c r="K58" s="96"/>
      <c r="L58" s="96"/>
      <c r="M58" s="386">
        <f>D58/30</f>
        <v>0.30733333333333335</v>
      </c>
      <c r="N58" s="161">
        <v>4</v>
      </c>
      <c r="R58" s="253"/>
      <c r="T58" s="253"/>
    </row>
    <row r="59" spans="1:20" ht="18">
      <c r="A59" s="277" t="s">
        <v>449</v>
      </c>
      <c r="B59" s="303" t="s">
        <v>151</v>
      </c>
      <c r="C59" s="278" t="s">
        <v>458</v>
      </c>
      <c r="D59" s="279">
        <v>1.38</v>
      </c>
      <c r="E59" s="276"/>
      <c r="F59" s="96"/>
      <c r="G59" s="96"/>
      <c r="H59" s="96"/>
      <c r="I59" s="96"/>
      <c r="J59" s="96"/>
      <c r="K59" s="96"/>
      <c r="L59" s="96"/>
      <c r="M59" s="384"/>
      <c r="N59" s="384"/>
      <c r="R59" s="253"/>
      <c r="T59" s="253"/>
    </row>
    <row r="60" spans="1:20" ht="18">
      <c r="A60" s="277" t="s">
        <v>459</v>
      </c>
      <c r="B60" s="303" t="s">
        <v>21</v>
      </c>
      <c r="C60" s="278" t="s">
        <v>460</v>
      </c>
      <c r="D60" s="279">
        <v>7.63</v>
      </c>
      <c r="E60" s="276"/>
      <c r="F60" s="96"/>
      <c r="G60" s="96"/>
      <c r="H60" s="96"/>
      <c r="I60" s="96"/>
      <c r="J60" s="96"/>
      <c r="K60" s="96"/>
      <c r="L60" s="96"/>
      <c r="M60" s="385"/>
      <c r="N60" s="385"/>
      <c r="R60" s="253"/>
      <c r="T60" s="253"/>
    </row>
    <row r="61" spans="1:20" ht="18">
      <c r="A61" s="277" t="s">
        <v>461</v>
      </c>
      <c r="B61" s="303" t="s">
        <v>23</v>
      </c>
      <c r="C61" s="278" t="s">
        <v>462</v>
      </c>
      <c r="D61" s="279">
        <v>3.18</v>
      </c>
      <c r="E61" s="276"/>
      <c r="F61" s="96"/>
      <c r="G61" s="96"/>
      <c r="H61" s="96"/>
      <c r="I61" s="96"/>
      <c r="J61" s="96"/>
      <c r="K61" s="96"/>
      <c r="L61" s="96"/>
      <c r="M61" s="385"/>
      <c r="N61" s="385"/>
      <c r="R61" s="253"/>
      <c r="T61" s="253"/>
    </row>
    <row r="62" spans="1:20" ht="18">
      <c r="A62" s="277" t="s">
        <v>463</v>
      </c>
      <c r="B62" s="303" t="s">
        <v>21</v>
      </c>
      <c r="C62" s="278" t="s">
        <v>464</v>
      </c>
      <c r="D62" s="279">
        <v>3.46</v>
      </c>
      <c r="E62" s="276"/>
      <c r="F62" s="96"/>
      <c r="G62" s="96"/>
      <c r="H62" s="96"/>
      <c r="I62" s="96"/>
      <c r="J62" s="96"/>
      <c r="K62" s="96"/>
      <c r="L62" s="96"/>
      <c r="M62" s="385"/>
      <c r="N62" s="385"/>
      <c r="R62" s="253"/>
      <c r="T62" s="253"/>
    </row>
    <row r="63" spans="1:20" ht="18">
      <c r="A63" s="277" t="s">
        <v>465</v>
      </c>
      <c r="B63" s="303" t="s">
        <v>21</v>
      </c>
      <c r="C63" s="278" t="s">
        <v>466</v>
      </c>
      <c r="D63" s="279">
        <v>1.64</v>
      </c>
      <c r="E63" s="276"/>
      <c r="F63" s="96"/>
      <c r="G63" s="96"/>
      <c r="H63" s="96"/>
      <c r="I63" s="96"/>
      <c r="J63" s="96"/>
      <c r="K63" s="96"/>
      <c r="L63" s="96"/>
      <c r="M63" s="385"/>
      <c r="N63" s="385"/>
      <c r="R63" s="253"/>
      <c r="T63" s="253"/>
    </row>
    <row r="64" spans="1:20" ht="18">
      <c r="A64" s="139" t="s">
        <v>74</v>
      </c>
      <c r="B64" s="302"/>
      <c r="C64" s="272" t="s">
        <v>39</v>
      </c>
      <c r="D64" s="262">
        <f>SUM(D59:D63)</f>
        <v>17.29</v>
      </c>
      <c r="E64" s="262">
        <f>31-D64</f>
        <v>13.71</v>
      </c>
      <c r="F64" s="96"/>
      <c r="G64" s="96"/>
      <c r="H64" s="96"/>
      <c r="I64" s="96"/>
      <c r="J64" s="96"/>
      <c r="K64" s="96"/>
      <c r="L64" s="96"/>
      <c r="M64" s="386">
        <f>D64/31</f>
        <v>0.557741935483871</v>
      </c>
      <c r="N64" s="161">
        <v>5</v>
      </c>
      <c r="R64" s="253"/>
      <c r="T64" s="253"/>
    </row>
    <row r="65" spans="1:20" ht="18">
      <c r="A65" s="277" t="s">
        <v>487</v>
      </c>
      <c r="B65" s="277" t="s">
        <v>23</v>
      </c>
      <c r="C65" s="278" t="s">
        <v>492</v>
      </c>
      <c r="D65" s="279">
        <v>5.05</v>
      </c>
      <c r="E65" s="276"/>
      <c r="F65" s="96"/>
      <c r="G65" s="96"/>
      <c r="H65" s="96"/>
      <c r="I65" s="96"/>
      <c r="J65" s="96"/>
      <c r="K65" s="96"/>
      <c r="L65" s="96"/>
      <c r="M65" s="384"/>
      <c r="N65" s="384"/>
      <c r="R65" s="253"/>
      <c r="T65" s="253"/>
    </row>
    <row r="66" spans="1:20" ht="18">
      <c r="A66" s="277" t="s">
        <v>488</v>
      </c>
      <c r="B66" s="277" t="s">
        <v>21</v>
      </c>
      <c r="C66" s="278" t="s">
        <v>491</v>
      </c>
      <c r="D66" s="279">
        <v>2.89</v>
      </c>
      <c r="E66" s="276"/>
      <c r="F66" s="96"/>
      <c r="G66" s="96"/>
      <c r="H66" s="96"/>
      <c r="I66" s="96"/>
      <c r="J66" s="96"/>
      <c r="K66" s="96"/>
      <c r="L66" s="96"/>
      <c r="M66" s="385"/>
      <c r="N66" s="385"/>
      <c r="R66" s="253"/>
      <c r="T66" s="253"/>
    </row>
    <row r="67" spans="1:20" ht="18">
      <c r="A67" s="277" t="s">
        <v>489</v>
      </c>
      <c r="B67" s="277" t="s">
        <v>21</v>
      </c>
      <c r="C67" s="278" t="s">
        <v>490</v>
      </c>
      <c r="D67" s="279">
        <v>2.85</v>
      </c>
      <c r="E67" s="276"/>
      <c r="F67" s="96"/>
      <c r="G67" s="96"/>
      <c r="H67" s="96"/>
      <c r="I67" s="96"/>
      <c r="J67" s="96"/>
      <c r="K67" s="96"/>
      <c r="L67" s="96"/>
      <c r="N67" s="385"/>
      <c r="Q67" s="253" t="s">
        <v>12</v>
      </c>
      <c r="R67" s="253"/>
      <c r="T67" s="253"/>
    </row>
    <row r="68" spans="1:20" ht="18">
      <c r="A68" s="277" t="s">
        <v>493</v>
      </c>
      <c r="B68" s="277" t="s">
        <v>23</v>
      </c>
      <c r="C68" s="278" t="s">
        <v>494</v>
      </c>
      <c r="D68" s="279">
        <v>6.21</v>
      </c>
      <c r="E68" s="276"/>
      <c r="F68" s="96"/>
      <c r="G68" s="96"/>
      <c r="H68" s="96"/>
      <c r="I68" s="96"/>
      <c r="J68" s="96"/>
      <c r="K68" s="96"/>
      <c r="L68" s="96"/>
      <c r="M68" s="385"/>
      <c r="N68" s="385"/>
      <c r="Q68" s="253" t="s">
        <v>12</v>
      </c>
      <c r="R68" s="253"/>
      <c r="T68" s="253"/>
    </row>
    <row r="69" spans="1:20" ht="18">
      <c r="A69" s="277" t="s">
        <v>495</v>
      </c>
      <c r="B69" s="277" t="s">
        <v>198</v>
      </c>
      <c r="C69" s="278" t="s">
        <v>496</v>
      </c>
      <c r="D69" s="279">
        <v>1.73</v>
      </c>
      <c r="E69" s="276"/>
      <c r="F69" s="96"/>
      <c r="G69" s="96"/>
      <c r="H69" s="96"/>
      <c r="I69" s="96"/>
      <c r="J69" s="96"/>
      <c r="K69" s="96"/>
      <c r="L69" s="96"/>
      <c r="M69" s="385"/>
      <c r="N69" s="385"/>
      <c r="Q69" s="253"/>
      <c r="R69" s="253"/>
      <c r="T69" s="253"/>
    </row>
    <row r="70" spans="1:20" ht="18">
      <c r="A70" s="287" t="s">
        <v>74</v>
      </c>
      <c r="B70" s="304"/>
      <c r="C70" s="272" t="s">
        <v>40</v>
      </c>
      <c r="D70" s="262">
        <f>SUM(D65:D69)</f>
        <v>18.73</v>
      </c>
      <c r="E70" s="262">
        <f>30-D70</f>
        <v>11.27</v>
      </c>
      <c r="F70" s="96"/>
      <c r="G70" s="96"/>
      <c r="H70" s="96"/>
      <c r="I70" s="96"/>
      <c r="J70" s="96"/>
      <c r="K70" s="96"/>
      <c r="L70" s="96"/>
      <c r="M70" s="389">
        <f>D70/30</f>
        <v>0.6243333333333333</v>
      </c>
      <c r="N70" s="161">
        <v>4</v>
      </c>
      <c r="R70" s="253"/>
      <c r="T70" s="253"/>
    </row>
    <row r="71" spans="1:20" ht="18">
      <c r="A71" s="277" t="s">
        <v>495</v>
      </c>
      <c r="B71" s="305" t="s">
        <v>198</v>
      </c>
      <c r="C71" s="278" t="s">
        <v>606</v>
      </c>
      <c r="D71" s="279">
        <v>0.56</v>
      </c>
      <c r="E71" s="276"/>
      <c r="F71" s="96"/>
      <c r="G71" s="96"/>
      <c r="H71" s="96"/>
      <c r="I71" s="96"/>
      <c r="J71" s="96"/>
      <c r="K71" s="96"/>
      <c r="L71" s="96"/>
      <c r="M71" s="691">
        <f>D77/31</f>
        <v>0.4674193548387096</v>
      </c>
      <c r="N71" s="682">
        <v>5</v>
      </c>
      <c r="O71" s="253" t="s">
        <v>12</v>
      </c>
      <c r="R71" s="253"/>
      <c r="T71" s="253"/>
    </row>
    <row r="72" spans="1:20" ht="18">
      <c r="A72" s="277" t="s">
        <v>607</v>
      </c>
      <c r="B72" s="305" t="s">
        <v>21</v>
      </c>
      <c r="C72" s="278" t="s">
        <v>608</v>
      </c>
      <c r="D72" s="279">
        <v>4.31</v>
      </c>
      <c r="E72" s="276"/>
      <c r="F72" s="96"/>
      <c r="G72" s="96"/>
      <c r="H72" s="96"/>
      <c r="I72" s="96"/>
      <c r="J72" s="96"/>
      <c r="K72" s="96"/>
      <c r="L72" s="96"/>
      <c r="M72" s="692"/>
      <c r="N72" s="683"/>
      <c r="O72" s="253"/>
      <c r="R72" s="253"/>
      <c r="T72" s="253"/>
    </row>
    <row r="73" spans="1:20" ht="18">
      <c r="A73" s="277" t="s">
        <v>609</v>
      </c>
      <c r="B73" s="305" t="s">
        <v>302</v>
      </c>
      <c r="C73" s="278" t="s">
        <v>610</v>
      </c>
      <c r="D73" s="279">
        <v>2.77</v>
      </c>
      <c r="E73" s="276"/>
      <c r="F73" s="96"/>
      <c r="G73" s="96"/>
      <c r="H73" s="96"/>
      <c r="I73" s="96"/>
      <c r="J73" s="96"/>
      <c r="K73" s="96"/>
      <c r="L73" s="96"/>
      <c r="M73" s="692"/>
      <c r="N73" s="683"/>
      <c r="O73" s="253"/>
      <c r="R73" s="253"/>
      <c r="T73" s="253"/>
    </row>
    <row r="74" spans="1:20" ht="18">
      <c r="A74" s="277" t="s">
        <v>611</v>
      </c>
      <c r="B74" s="305" t="s">
        <v>198</v>
      </c>
      <c r="C74" s="278" t="s">
        <v>612</v>
      </c>
      <c r="D74" s="279">
        <v>0.81</v>
      </c>
      <c r="E74" s="276"/>
      <c r="F74" s="96"/>
      <c r="G74" s="96"/>
      <c r="H74" s="96"/>
      <c r="I74" s="96"/>
      <c r="J74" s="96"/>
      <c r="K74" s="96"/>
      <c r="L74" s="96"/>
      <c r="M74" s="692"/>
      <c r="N74" s="683"/>
      <c r="O74" s="253"/>
      <c r="R74" s="253"/>
      <c r="T74" s="253"/>
    </row>
    <row r="75" spans="1:20" ht="18">
      <c r="A75" s="277" t="s">
        <v>613</v>
      </c>
      <c r="B75" s="305" t="s">
        <v>614</v>
      </c>
      <c r="C75" s="278" t="s">
        <v>615</v>
      </c>
      <c r="D75" s="279">
        <v>1.85</v>
      </c>
      <c r="E75" s="276"/>
      <c r="F75" s="96"/>
      <c r="G75" s="96"/>
      <c r="H75" s="96"/>
      <c r="I75" s="96"/>
      <c r="J75" s="96"/>
      <c r="K75" s="96"/>
      <c r="L75" s="96"/>
      <c r="M75" s="692"/>
      <c r="N75" s="683"/>
      <c r="O75" s="253"/>
      <c r="R75" s="253"/>
      <c r="T75" s="253"/>
    </row>
    <row r="76" spans="1:20" ht="18">
      <c r="A76" s="277" t="s">
        <v>616</v>
      </c>
      <c r="B76" s="305" t="s">
        <v>21</v>
      </c>
      <c r="C76" s="278" t="s">
        <v>617</v>
      </c>
      <c r="D76" s="279">
        <v>4.19</v>
      </c>
      <c r="E76" s="276"/>
      <c r="F76" s="96"/>
      <c r="G76" s="96"/>
      <c r="H76" s="96"/>
      <c r="I76" s="96"/>
      <c r="J76" s="96"/>
      <c r="K76" s="96"/>
      <c r="L76" s="96"/>
      <c r="M76" s="692"/>
      <c r="N76" s="683"/>
      <c r="O76" s="253"/>
      <c r="R76" s="253"/>
      <c r="T76" s="253"/>
    </row>
    <row r="77" spans="1:20" ht="18">
      <c r="A77" s="287" t="s">
        <v>74</v>
      </c>
      <c r="B77" s="304"/>
      <c r="C77" s="272" t="s">
        <v>41</v>
      </c>
      <c r="D77" s="262">
        <f>SUM(D71:D76)</f>
        <v>14.489999999999998</v>
      </c>
      <c r="E77" s="262">
        <f>31-D77</f>
        <v>16.51</v>
      </c>
      <c r="F77" s="96"/>
      <c r="G77" s="96"/>
      <c r="H77" s="96"/>
      <c r="I77" s="96"/>
      <c r="J77" s="96"/>
      <c r="K77" s="96"/>
      <c r="L77" s="96"/>
      <c r="M77" s="693"/>
      <c r="N77" s="684"/>
      <c r="Q77" s="288"/>
      <c r="R77" s="253"/>
      <c r="T77" s="253"/>
    </row>
    <row r="78" spans="1:17" ht="18">
      <c r="A78" s="676" t="s">
        <v>174</v>
      </c>
      <c r="B78" s="677"/>
      <c r="C78" s="678"/>
      <c r="D78" s="249">
        <f>D10+D17+D23+D32+D37+D42+D46+D52+D58+D64+D70+D77</f>
        <v>182.20999999999998</v>
      </c>
      <c r="E78" s="249">
        <f>E10+E17+E23+E32+E37+E42+E46+E52+E58+E64+E70+E77</f>
        <v>182.79000000000002</v>
      </c>
      <c r="F78" s="96"/>
      <c r="G78" s="96"/>
      <c r="H78" s="96"/>
      <c r="I78" s="96"/>
      <c r="J78" s="96"/>
      <c r="K78" s="96"/>
      <c r="L78" s="96"/>
      <c r="M78" s="443" t="s">
        <v>312</v>
      </c>
      <c r="N78" s="582">
        <f>SUM(N6:N77)</f>
        <v>51</v>
      </c>
      <c r="Q78" s="283" t="s">
        <v>12</v>
      </c>
    </row>
    <row r="79" spans="4:20" ht="18">
      <c r="D79" s="489">
        <f>D78/N79</f>
        <v>0.49920547945205473</v>
      </c>
      <c r="E79" s="489">
        <f>E78/N79</f>
        <v>0.5007945205479453</v>
      </c>
      <c r="M79" s="443" t="s">
        <v>313</v>
      </c>
      <c r="N79" s="440">
        <v>365</v>
      </c>
      <c r="T79" s="253" t="s">
        <v>12</v>
      </c>
    </row>
    <row r="80" spans="4:17" ht="18">
      <c r="D80" s="390" t="s">
        <v>256</v>
      </c>
      <c r="E80" s="390" t="s">
        <v>264</v>
      </c>
      <c r="Q80" s="253" t="s">
        <v>12</v>
      </c>
    </row>
    <row r="81" spans="14:21" ht="18">
      <c r="N81" s="171"/>
      <c r="U81" s="253" t="s">
        <v>12</v>
      </c>
    </row>
    <row r="82" spans="3:19" ht="18">
      <c r="C82" s="137" t="s">
        <v>12</v>
      </c>
      <c r="E82" s="136" t="s">
        <v>12</v>
      </c>
      <c r="N82" s="96" t="s">
        <v>12</v>
      </c>
      <c r="O82" s="288"/>
      <c r="P82" s="253" t="s">
        <v>12</v>
      </c>
      <c r="S82" s="253" t="s">
        <v>12</v>
      </c>
    </row>
    <row r="83" ht="18">
      <c r="P83" s="283" t="s">
        <v>12</v>
      </c>
    </row>
    <row r="84" ht="18">
      <c r="M84" s="1"/>
    </row>
    <row r="85" ht="18">
      <c r="N85" s="334"/>
    </row>
  </sheetData>
  <sheetProtection/>
  <mergeCells count="8">
    <mergeCell ref="A78:C78"/>
    <mergeCell ref="B4:B5"/>
    <mergeCell ref="A2:N2"/>
    <mergeCell ref="A3:N3"/>
    <mergeCell ref="N71:N77"/>
    <mergeCell ref="M18:M23"/>
    <mergeCell ref="N18:N23"/>
    <mergeCell ref="M71:M77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portrait" paperSize="9" scale="52" r:id="rId1"/>
  <rowBreaks count="1" manualBreakCount="1">
    <brk id="80" max="255" man="1"/>
  </rowBreaks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PageLayoutView="0" workbookViewId="0" topLeftCell="A1">
      <selection activeCell="E34" sqref="E34"/>
    </sheetView>
  </sheetViews>
  <sheetFormatPr defaultColWidth="9.140625" defaultRowHeight="12.75"/>
  <cols>
    <col min="1" max="1" width="9.140625" style="107" customWidth="1"/>
    <col min="2" max="2" width="27.28125" style="107" customWidth="1"/>
    <col min="3" max="4" width="13.28125" style="107" customWidth="1"/>
    <col min="5" max="5" width="28.421875" style="107" customWidth="1"/>
    <col min="6" max="12" width="9.140625" style="107" hidden="1" customWidth="1"/>
    <col min="13" max="13" width="13.57421875" style="107" bestFit="1" customWidth="1"/>
    <col min="14" max="14" width="9.140625" style="107" customWidth="1"/>
    <col min="15" max="15" width="20.28125" style="107" bestFit="1" customWidth="1"/>
    <col min="16" max="17" width="13.28125" style="107" bestFit="1" customWidth="1"/>
    <col min="18" max="18" width="28.421875" style="107" bestFit="1" customWidth="1"/>
    <col min="19" max="19" width="9.421875" style="107" bestFit="1" customWidth="1"/>
    <col min="20" max="16384" width="9.140625" style="107" customWidth="1"/>
  </cols>
  <sheetData>
    <row r="1" spans="2:12" ht="14.25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2" ht="14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4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4.2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8" ht="12.75"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</row>
    <row r="6" spans="2:18" ht="12.75"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</row>
    <row r="7" spans="2:18" ht="12.75"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</row>
    <row r="8" spans="2:12" ht="12.75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2:12" ht="12.7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8" ht="25.5">
      <c r="A10" s="695" t="s">
        <v>85</v>
      </c>
      <c r="B10" s="695"/>
      <c r="C10" s="695"/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5"/>
      <c r="R10" s="695"/>
    </row>
    <row r="11" spans="1:18" ht="19.5">
      <c r="A11" s="696" t="s">
        <v>84</v>
      </c>
      <c r="B11" s="696"/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</row>
    <row r="12" spans="15:18" ht="12.75">
      <c r="O12" s="293"/>
      <c r="P12" s="293"/>
      <c r="Q12" s="293"/>
      <c r="R12" s="293"/>
    </row>
    <row r="13" spans="2:18" ht="25.5">
      <c r="B13" s="114" t="s">
        <v>77</v>
      </c>
      <c r="C13" s="114">
        <v>2020</v>
      </c>
      <c r="D13" s="114">
        <v>2021</v>
      </c>
      <c r="E13" s="114" t="s">
        <v>83</v>
      </c>
      <c r="O13" s="294"/>
      <c r="P13" s="294"/>
      <c r="Q13" s="294"/>
      <c r="R13" s="294"/>
    </row>
    <row r="14" spans="2:20" ht="25.5">
      <c r="B14" s="359" t="s">
        <v>16</v>
      </c>
      <c r="C14" s="360">
        <v>11.86</v>
      </c>
      <c r="D14" s="361">
        <f>'berço 101'!D10</f>
        <v>13.15</v>
      </c>
      <c r="E14" s="362">
        <f aca="true" t="shared" si="0" ref="E14:E19">D14/C14-1</f>
        <v>0.10876897133220909</v>
      </c>
      <c r="M14" s="275"/>
      <c r="O14" s="295"/>
      <c r="P14" s="296"/>
      <c r="Q14" s="296"/>
      <c r="R14" s="297"/>
      <c r="S14" s="210"/>
      <c r="T14" s="107" t="s">
        <v>12</v>
      </c>
    </row>
    <row r="15" spans="2:22" ht="25.5">
      <c r="B15" s="359" t="s">
        <v>17</v>
      </c>
      <c r="C15" s="360">
        <v>11.06</v>
      </c>
      <c r="D15" s="361">
        <f>'berço 101'!D17</f>
        <v>21.849999999999998</v>
      </c>
      <c r="E15" s="371">
        <f t="shared" si="0"/>
        <v>0.9755877034358045</v>
      </c>
      <c r="M15" s="111"/>
      <c r="O15" s="295"/>
      <c r="P15" s="296"/>
      <c r="Q15" s="296"/>
      <c r="R15" s="298"/>
      <c r="S15" s="211"/>
      <c r="V15" s="107" t="s">
        <v>12</v>
      </c>
    </row>
    <row r="16" spans="2:19" ht="25.5">
      <c r="B16" s="359" t="s">
        <v>18</v>
      </c>
      <c r="C16" s="360">
        <v>3.96</v>
      </c>
      <c r="D16" s="361">
        <f>'berço 101'!D23</f>
        <v>12.120000000000001</v>
      </c>
      <c r="E16" s="371">
        <f t="shared" si="0"/>
        <v>2.060606060606061</v>
      </c>
      <c r="O16" s="295"/>
      <c r="P16" s="296"/>
      <c r="Q16" s="296"/>
      <c r="R16" s="298"/>
      <c r="S16" s="236"/>
    </row>
    <row r="17" spans="2:18" ht="25.5">
      <c r="B17" s="359" t="s">
        <v>59</v>
      </c>
      <c r="C17" s="360">
        <v>13.34</v>
      </c>
      <c r="D17" s="361">
        <f>'berço 101'!D32</f>
        <v>28.08</v>
      </c>
      <c r="E17" s="371">
        <f t="shared" si="0"/>
        <v>1.1049475262368813</v>
      </c>
      <c r="M17" s="211"/>
      <c r="O17" s="295"/>
      <c r="P17" s="296"/>
      <c r="Q17" s="296"/>
      <c r="R17" s="297"/>
    </row>
    <row r="18" spans="2:19" ht="25.5">
      <c r="B18" s="359" t="s">
        <v>58</v>
      </c>
      <c r="C18" s="360">
        <v>18.31</v>
      </c>
      <c r="D18" s="361">
        <f>'berço 101'!D37</f>
        <v>9.84</v>
      </c>
      <c r="E18" s="371">
        <f t="shared" si="0"/>
        <v>-0.46258874931731286</v>
      </c>
      <c r="M18" s="264"/>
      <c r="O18" s="295"/>
      <c r="P18" s="296"/>
      <c r="Q18" s="296"/>
      <c r="R18" s="297"/>
      <c r="S18" s="236"/>
    </row>
    <row r="19" spans="2:18" ht="25.5">
      <c r="B19" s="359" t="s">
        <v>57</v>
      </c>
      <c r="C19" s="360">
        <v>15.52</v>
      </c>
      <c r="D19" s="361">
        <f>'berço 101'!D42</f>
        <v>10.71</v>
      </c>
      <c r="E19" s="371">
        <f t="shared" si="0"/>
        <v>-0.30992268041237103</v>
      </c>
      <c r="F19" s="113"/>
      <c r="O19" s="295"/>
      <c r="P19" s="296"/>
      <c r="Q19" s="296"/>
      <c r="R19" s="297"/>
    </row>
    <row r="20" spans="2:18" ht="25.5">
      <c r="B20" s="359" t="s">
        <v>36</v>
      </c>
      <c r="C20" s="360">
        <v>25.14</v>
      </c>
      <c r="D20" s="361">
        <f>'berço 101'!D46</f>
        <v>11.83</v>
      </c>
      <c r="E20" s="371">
        <f aca="true" t="shared" si="1" ref="E20:E26">D20/C20-1</f>
        <v>-0.5294351630867145</v>
      </c>
      <c r="M20" s="267"/>
      <c r="O20" s="295"/>
      <c r="P20" s="296"/>
      <c r="Q20" s="296"/>
      <c r="R20" s="297"/>
    </row>
    <row r="21" spans="2:18" ht="25.5">
      <c r="B21" s="359" t="s">
        <v>37</v>
      </c>
      <c r="C21" s="360">
        <v>21.5</v>
      </c>
      <c r="D21" s="361">
        <f>'berço 101'!D52</f>
        <v>14.899999999999999</v>
      </c>
      <c r="E21" s="371">
        <f t="shared" si="1"/>
        <v>-0.3069767441860466</v>
      </c>
      <c r="G21" s="112"/>
      <c r="M21" s="111"/>
      <c r="O21" s="295"/>
      <c r="P21" s="296"/>
      <c r="Q21" s="296"/>
      <c r="R21" s="297"/>
    </row>
    <row r="22" spans="2:18" ht="25.5">
      <c r="B22" s="359" t="s">
        <v>38</v>
      </c>
      <c r="C22" s="360">
        <v>23.33</v>
      </c>
      <c r="D22" s="361">
        <f>'berço 101'!D58</f>
        <v>9.22</v>
      </c>
      <c r="E22" s="371">
        <f t="shared" si="1"/>
        <v>-0.6048006858122588</v>
      </c>
      <c r="O22" s="295"/>
      <c r="P22" s="296"/>
      <c r="Q22" s="296"/>
      <c r="R22" s="299"/>
    </row>
    <row r="23" spans="2:18" ht="25.5">
      <c r="B23" s="359" t="s">
        <v>39</v>
      </c>
      <c r="C23" s="360">
        <v>27.16</v>
      </c>
      <c r="D23" s="361">
        <f>'berço 101'!D64</f>
        <v>17.29</v>
      </c>
      <c r="E23" s="371">
        <f t="shared" si="1"/>
        <v>-0.36340206185567014</v>
      </c>
      <c r="M23" s="110"/>
      <c r="O23" s="295"/>
      <c r="P23" s="296"/>
      <c r="Q23" s="296"/>
      <c r="R23" s="299"/>
    </row>
    <row r="24" spans="2:18" ht="25.5">
      <c r="B24" s="359" t="s">
        <v>40</v>
      </c>
      <c r="C24" s="360">
        <v>21.15</v>
      </c>
      <c r="D24" s="361">
        <f>'berço 101'!D70</f>
        <v>18.73</v>
      </c>
      <c r="E24" s="371">
        <f t="shared" si="1"/>
        <v>-0.11442080378250585</v>
      </c>
      <c r="O24" s="295"/>
      <c r="P24" s="296"/>
      <c r="Q24" s="296"/>
      <c r="R24" s="299"/>
    </row>
    <row r="25" spans="2:19" ht="25.5">
      <c r="B25" s="359" t="s">
        <v>41</v>
      </c>
      <c r="C25" s="360">
        <v>18.26</v>
      </c>
      <c r="D25" s="361">
        <f>'berço 101'!D77</f>
        <v>14.489999999999998</v>
      </c>
      <c r="E25" s="423">
        <f t="shared" si="1"/>
        <v>-0.20646221248630903</v>
      </c>
      <c r="O25" s="295"/>
      <c r="P25" s="296"/>
      <c r="Q25" s="296"/>
      <c r="R25" s="297"/>
      <c r="S25" s="210"/>
    </row>
    <row r="26" spans="2:19" ht="25.5">
      <c r="B26" s="372" t="s">
        <v>249</v>
      </c>
      <c r="C26" s="375">
        <f>SUM(C14:C25)</f>
        <v>210.58999999999997</v>
      </c>
      <c r="D26" s="376">
        <f>SUM(D14:D25)</f>
        <v>182.20999999999998</v>
      </c>
      <c r="E26" s="583">
        <f t="shared" si="1"/>
        <v>-0.13476423381926972</v>
      </c>
      <c r="O26" s="295"/>
      <c r="P26" s="296"/>
      <c r="Q26" s="296"/>
      <c r="R26" s="297"/>
      <c r="S26" s="210"/>
    </row>
    <row r="27" spans="2:19" ht="25.5">
      <c r="B27" s="373" t="s">
        <v>254</v>
      </c>
      <c r="C27" s="374">
        <f>C26/366</f>
        <v>0.5753825136612021</v>
      </c>
      <c r="D27" s="374">
        <f>D26/365</f>
        <v>0.49920547945205473</v>
      </c>
      <c r="E27" s="326"/>
      <c r="O27" s="295"/>
      <c r="P27" s="296"/>
      <c r="Q27" s="296"/>
      <c r="R27" s="297"/>
      <c r="S27" s="210"/>
    </row>
    <row r="28" spans="2:5" ht="20.25">
      <c r="B28" s="318"/>
      <c r="C28" s="319"/>
      <c r="D28" s="319"/>
      <c r="E28" s="110"/>
    </row>
    <row r="29" spans="2:15" ht="20.25">
      <c r="B29" s="110" t="s">
        <v>171</v>
      </c>
      <c r="C29" s="110"/>
      <c r="D29" s="110"/>
      <c r="E29" s="109"/>
      <c r="O29" s="108"/>
    </row>
    <row r="30" ht="20.25">
      <c r="B30" s="110" t="s">
        <v>206</v>
      </c>
    </row>
    <row r="32" ht="12.75">
      <c r="D32" s="107" t="s">
        <v>12</v>
      </c>
    </row>
  </sheetData>
  <sheetProtection/>
  <mergeCells count="5">
    <mergeCell ref="B5:R5"/>
    <mergeCell ref="B6:R6"/>
    <mergeCell ref="B7:R7"/>
    <mergeCell ref="A10:R10"/>
    <mergeCell ref="A11:R1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64" r:id="rId2"/>
  <ignoredErrors>
    <ignoredError sqref="C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S112"/>
  <sheetViews>
    <sheetView showGridLines="0" zoomScalePageLayoutView="0" workbookViewId="0" topLeftCell="A56">
      <selection activeCell="M81" sqref="M81"/>
    </sheetView>
  </sheetViews>
  <sheetFormatPr defaultColWidth="11.421875" defaultRowHeight="12.75"/>
  <cols>
    <col min="1" max="1" width="32.140625" style="1" customWidth="1"/>
    <col min="2" max="2" width="8.7109375" style="2" customWidth="1"/>
    <col min="3" max="3" width="11.28125" style="3" customWidth="1"/>
    <col min="4" max="4" width="8.7109375" style="2" customWidth="1"/>
    <col min="5" max="5" width="12.28125" style="3" customWidth="1"/>
    <col min="6" max="6" width="8.7109375" style="2" customWidth="1"/>
    <col min="7" max="7" width="12.7109375" style="3" customWidth="1"/>
    <col min="8" max="8" width="8.7109375" style="2" customWidth="1"/>
    <col min="9" max="9" width="12.28125" style="3" customWidth="1"/>
    <col min="10" max="10" width="8.7109375" style="2" customWidth="1"/>
    <col min="11" max="11" width="13.140625" style="3" customWidth="1"/>
    <col min="12" max="12" width="8.57421875" style="2" customWidth="1"/>
    <col min="13" max="13" width="12.00390625" style="3" customWidth="1"/>
    <col min="14" max="14" width="10.57421875" style="1" customWidth="1"/>
    <col min="15" max="15" width="17.421875" style="1" customWidth="1"/>
    <col min="16" max="17" width="12.28125" style="1" bestFit="1" customWidth="1"/>
    <col min="18" max="18" width="11.421875" style="1" customWidth="1"/>
    <col min="19" max="19" width="12.28125" style="1" bestFit="1" customWidth="1"/>
    <col min="20" max="16384" width="11.421875" style="1" customWidth="1"/>
  </cols>
  <sheetData>
    <row r="7" ht="13.5" thickBot="1"/>
    <row r="8" spans="1:15" ht="21.75" thickBot="1" thickTop="1">
      <c r="A8" s="594" t="s">
        <v>281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6"/>
    </row>
    <row r="9" ht="13.5" thickTop="1"/>
    <row r="10" spans="1:15" ht="12.75">
      <c r="A10" s="4" t="s">
        <v>0</v>
      </c>
      <c r="B10" s="5" t="s">
        <v>1</v>
      </c>
      <c r="C10" s="6"/>
      <c r="D10" s="7" t="s">
        <v>2</v>
      </c>
      <c r="E10" s="8"/>
      <c r="F10" s="7" t="s">
        <v>3</v>
      </c>
      <c r="G10" s="9"/>
      <c r="H10" s="5" t="s">
        <v>4</v>
      </c>
      <c r="I10" s="9"/>
      <c r="J10" s="5" t="s">
        <v>5</v>
      </c>
      <c r="K10" s="9"/>
      <c r="L10" s="5" t="s">
        <v>6</v>
      </c>
      <c r="M10" s="9"/>
      <c r="N10" s="10" t="s">
        <v>7</v>
      </c>
      <c r="O10" s="11"/>
    </row>
    <row r="11" spans="1:15" ht="12.75">
      <c r="A11" s="4" t="s">
        <v>24</v>
      </c>
      <c r="B11" s="13" t="s">
        <v>8</v>
      </c>
      <c r="C11" s="14" t="s">
        <v>9</v>
      </c>
      <c r="D11" s="13" t="s">
        <v>8</v>
      </c>
      <c r="E11" s="14" t="s">
        <v>9</v>
      </c>
      <c r="F11" s="4" t="s">
        <v>8</v>
      </c>
      <c r="G11" s="14" t="s">
        <v>9</v>
      </c>
      <c r="H11" s="4" t="s">
        <v>8</v>
      </c>
      <c r="I11" s="14" t="s">
        <v>9</v>
      </c>
      <c r="J11" s="13" t="s">
        <v>8</v>
      </c>
      <c r="K11" s="14" t="s">
        <v>9</v>
      </c>
      <c r="L11" s="13" t="s">
        <v>8</v>
      </c>
      <c r="M11" s="14" t="s">
        <v>9</v>
      </c>
      <c r="N11" s="15" t="s">
        <v>8</v>
      </c>
      <c r="O11" s="16" t="s">
        <v>9</v>
      </c>
    </row>
    <row r="12" spans="1:16" ht="12.75" customHeight="1">
      <c r="A12" s="310" t="s">
        <v>21</v>
      </c>
      <c r="B12" s="45">
        <v>0</v>
      </c>
      <c r="C12" s="215">
        <f>10580.98+25475.86</f>
        <v>36056.84</v>
      </c>
      <c r="D12" s="223">
        <v>0</v>
      </c>
      <c r="E12" s="215">
        <f>16907.15+16080.63</f>
        <v>32987.78</v>
      </c>
      <c r="F12" s="239">
        <v>0</v>
      </c>
      <c r="G12" s="215">
        <f>6970.03+9847.91+14086.15</f>
        <v>30904.089999999997</v>
      </c>
      <c r="H12" s="223">
        <v>0</v>
      </c>
      <c r="I12" s="222">
        <f>9886.78+17145.14+25085.5</f>
        <v>52117.42</v>
      </c>
      <c r="J12" s="455" t="s">
        <v>348</v>
      </c>
      <c r="K12" s="306">
        <f>11594.64</f>
        <v>11594.64</v>
      </c>
      <c r="L12" s="223"/>
      <c r="M12" s="468">
        <f>14436.58+20083.31+10556.96</f>
        <v>45076.85</v>
      </c>
      <c r="N12" s="46">
        <v>0</v>
      </c>
      <c r="O12" s="20">
        <f aca="true" t="shared" si="0" ref="N12:O16">(C12+E12+G12+I12+K12+M12)</f>
        <v>208737.62000000002</v>
      </c>
      <c r="P12" s="21"/>
    </row>
    <row r="13" spans="1:15" ht="12.75" customHeight="1">
      <c r="A13" s="310" t="s">
        <v>151</v>
      </c>
      <c r="B13" s="45">
        <v>0</v>
      </c>
      <c r="C13" s="215">
        <v>0</v>
      </c>
      <c r="D13" s="223">
        <v>0</v>
      </c>
      <c r="E13" s="215">
        <v>0</v>
      </c>
      <c r="F13" s="239">
        <v>0</v>
      </c>
      <c r="G13" s="215">
        <v>0</v>
      </c>
      <c r="H13" s="223">
        <v>0</v>
      </c>
      <c r="I13" s="222">
        <v>0</v>
      </c>
      <c r="J13" s="456" t="s">
        <v>348</v>
      </c>
      <c r="K13" s="215">
        <v>0</v>
      </c>
      <c r="L13" s="223"/>
      <c r="M13" s="464"/>
      <c r="N13" s="51">
        <v>0</v>
      </c>
      <c r="O13" s="20">
        <f t="shared" si="0"/>
        <v>0</v>
      </c>
    </row>
    <row r="14" spans="1:15" ht="12.75">
      <c r="A14" s="310" t="s">
        <v>22</v>
      </c>
      <c r="B14" s="45">
        <v>0</v>
      </c>
      <c r="C14" s="215">
        <v>12012.92</v>
      </c>
      <c r="D14" s="223">
        <v>0</v>
      </c>
      <c r="E14" s="215">
        <v>11825.69</v>
      </c>
      <c r="F14" s="239">
        <v>0</v>
      </c>
      <c r="G14" s="215">
        <v>6928.21</v>
      </c>
      <c r="H14" s="223">
        <v>0</v>
      </c>
      <c r="I14" s="222">
        <v>0</v>
      </c>
      <c r="J14" s="455" t="s">
        <v>348</v>
      </c>
      <c r="K14" s="215">
        <f>12218.56</f>
        <v>12218.56</v>
      </c>
      <c r="L14" s="223"/>
      <c r="M14" s="222"/>
      <c r="N14" s="46">
        <v>0</v>
      </c>
      <c r="O14" s="20">
        <f t="shared" si="0"/>
        <v>42985.38</v>
      </c>
    </row>
    <row r="15" spans="1:15" ht="12.75">
      <c r="A15" s="310" t="s">
        <v>23</v>
      </c>
      <c r="B15" s="45">
        <v>0</v>
      </c>
      <c r="C15" s="215">
        <v>0</v>
      </c>
      <c r="D15" s="223">
        <v>0</v>
      </c>
      <c r="E15" s="215">
        <v>18775.33</v>
      </c>
      <c r="F15" s="239">
        <v>0</v>
      </c>
      <c r="G15" s="215">
        <v>0</v>
      </c>
      <c r="H15" s="223">
        <v>0</v>
      </c>
      <c r="I15" s="222">
        <v>21986.69</v>
      </c>
      <c r="J15" s="455" t="s">
        <v>348</v>
      </c>
      <c r="K15" s="215">
        <v>0</v>
      </c>
      <c r="L15" s="223"/>
      <c r="M15" s="222"/>
      <c r="N15" s="46">
        <v>0</v>
      </c>
      <c r="O15" s="20">
        <f t="shared" si="0"/>
        <v>40762.020000000004</v>
      </c>
    </row>
    <row r="16" spans="1:17" ht="12.75">
      <c r="A16" s="310" t="s">
        <v>155</v>
      </c>
      <c r="B16" s="30">
        <v>348</v>
      </c>
      <c r="C16" s="215">
        <v>11.223</v>
      </c>
      <c r="D16" s="224">
        <v>568</v>
      </c>
      <c r="E16" s="215">
        <v>15.192</v>
      </c>
      <c r="F16" s="240">
        <v>1044</v>
      </c>
      <c r="G16" s="215">
        <v>43.165</v>
      </c>
      <c r="H16" s="224">
        <f>293</f>
        <v>293</v>
      </c>
      <c r="I16" s="222">
        <f>45.47+1.09</f>
        <v>46.56</v>
      </c>
      <c r="J16" s="240">
        <f>2253/4</f>
        <v>563.25</v>
      </c>
      <c r="K16" s="215">
        <v>21.198</v>
      </c>
      <c r="L16" s="224">
        <f>2471+2</f>
        <v>2473</v>
      </c>
      <c r="M16" s="468">
        <f>49.668+0.04</f>
        <v>49.708</v>
      </c>
      <c r="N16" s="51">
        <f t="shared" si="0"/>
        <v>5289.25</v>
      </c>
      <c r="O16" s="20">
        <f t="shared" si="0"/>
        <v>187.046</v>
      </c>
      <c r="Q16" s="61"/>
    </row>
    <row r="17" spans="1:15" ht="12.75">
      <c r="A17" s="310" t="s">
        <v>44</v>
      </c>
      <c r="B17" s="30">
        <v>0</v>
      </c>
      <c r="C17" s="215">
        <v>0</v>
      </c>
      <c r="D17" s="224">
        <v>0</v>
      </c>
      <c r="E17" s="215">
        <v>0</v>
      </c>
      <c r="F17" s="239">
        <v>0</v>
      </c>
      <c r="G17" s="215">
        <v>0</v>
      </c>
      <c r="H17" s="224">
        <v>0</v>
      </c>
      <c r="I17" s="222">
        <v>0</v>
      </c>
      <c r="J17" s="456" t="s">
        <v>348</v>
      </c>
      <c r="K17" s="215">
        <v>0</v>
      </c>
      <c r="L17" s="224"/>
      <c r="M17" s="222"/>
      <c r="N17" s="51">
        <v>0</v>
      </c>
      <c r="O17" s="20">
        <f aca="true" t="shared" si="1" ref="O17:O27">(C17+E17+G17+I17+K17+M17)</f>
        <v>0</v>
      </c>
    </row>
    <row r="18" spans="1:17" ht="12.75">
      <c r="A18" s="268" t="s">
        <v>152</v>
      </c>
      <c r="B18" s="30">
        <v>0</v>
      </c>
      <c r="C18" s="215">
        <v>0</v>
      </c>
      <c r="D18" s="224">
        <v>0</v>
      </c>
      <c r="E18" s="215">
        <v>0</v>
      </c>
      <c r="F18" s="240">
        <v>0</v>
      </c>
      <c r="G18" s="215">
        <v>0</v>
      </c>
      <c r="H18" s="224">
        <v>0</v>
      </c>
      <c r="I18" s="222">
        <v>0</v>
      </c>
      <c r="J18" s="456" t="s">
        <v>348</v>
      </c>
      <c r="K18" s="215">
        <v>0</v>
      </c>
      <c r="L18" s="224"/>
      <c r="M18" s="222"/>
      <c r="N18" s="51">
        <v>0</v>
      </c>
      <c r="O18" s="20">
        <f t="shared" si="1"/>
        <v>0</v>
      </c>
      <c r="P18" s="61"/>
      <c r="Q18" s="300"/>
    </row>
    <row r="19" spans="1:15" ht="12.75">
      <c r="A19" s="268" t="s">
        <v>30</v>
      </c>
      <c r="B19" s="30">
        <v>0</v>
      </c>
      <c r="C19" s="215">
        <v>0</v>
      </c>
      <c r="D19" s="224">
        <v>0</v>
      </c>
      <c r="E19" s="222">
        <v>0</v>
      </c>
      <c r="F19" s="239">
        <v>0</v>
      </c>
      <c r="G19" s="215">
        <v>0</v>
      </c>
      <c r="H19" s="224">
        <v>0</v>
      </c>
      <c r="I19" s="222">
        <v>0</v>
      </c>
      <c r="J19" s="456" t="s">
        <v>348</v>
      </c>
      <c r="K19" s="215">
        <v>0</v>
      </c>
      <c r="L19" s="223"/>
      <c r="M19" s="222"/>
      <c r="N19" s="51">
        <v>0</v>
      </c>
      <c r="O19" s="20">
        <f t="shared" si="1"/>
        <v>0</v>
      </c>
    </row>
    <row r="20" spans="1:15" ht="12.75" customHeight="1">
      <c r="A20" s="268" t="s">
        <v>28</v>
      </c>
      <c r="B20" s="45">
        <v>0</v>
      </c>
      <c r="C20" s="215">
        <v>0</v>
      </c>
      <c r="D20" s="224">
        <v>0</v>
      </c>
      <c r="E20" s="222">
        <v>0</v>
      </c>
      <c r="F20" s="239">
        <v>0</v>
      </c>
      <c r="G20" s="215">
        <v>0</v>
      </c>
      <c r="H20" s="224">
        <v>0</v>
      </c>
      <c r="I20" s="222">
        <f>2005.05+8073.71</f>
        <v>10078.76</v>
      </c>
      <c r="J20" s="455" t="s">
        <v>348</v>
      </c>
      <c r="K20" s="215">
        <v>0</v>
      </c>
      <c r="L20" s="223"/>
      <c r="M20" s="222"/>
      <c r="N20" s="51">
        <v>0</v>
      </c>
      <c r="O20" s="20">
        <f>(C20+E20+G20+I20+K20+M20)</f>
        <v>10078.76</v>
      </c>
    </row>
    <row r="21" spans="1:17" ht="12.75" customHeight="1">
      <c r="A21" s="268" t="s">
        <v>215</v>
      </c>
      <c r="B21" s="45">
        <v>0</v>
      </c>
      <c r="C21" s="215">
        <v>0</v>
      </c>
      <c r="D21" s="224">
        <v>0</v>
      </c>
      <c r="E21" s="222">
        <v>0</v>
      </c>
      <c r="F21" s="240">
        <v>0</v>
      </c>
      <c r="G21" s="215">
        <v>0</v>
      </c>
      <c r="H21" s="224">
        <v>0</v>
      </c>
      <c r="I21" s="222">
        <v>0</v>
      </c>
      <c r="J21" s="455" t="s">
        <v>348</v>
      </c>
      <c r="K21" s="215">
        <v>0</v>
      </c>
      <c r="L21" s="223"/>
      <c r="M21" s="222"/>
      <c r="N21" s="51">
        <v>0</v>
      </c>
      <c r="O21" s="20">
        <f>(C21+E21+G21+I21+K21+M21)</f>
        <v>0</v>
      </c>
      <c r="P21" s="61"/>
      <c r="Q21" s="300"/>
    </row>
    <row r="22" spans="1:17" ht="12.75" customHeight="1">
      <c r="A22" s="268" t="s">
        <v>220</v>
      </c>
      <c r="B22" s="45">
        <v>0</v>
      </c>
      <c r="C22" s="215">
        <v>0</v>
      </c>
      <c r="D22" s="224">
        <v>0</v>
      </c>
      <c r="E22" s="222">
        <v>0</v>
      </c>
      <c r="F22" s="224">
        <v>0</v>
      </c>
      <c r="G22" s="215">
        <v>0</v>
      </c>
      <c r="H22" s="224">
        <v>0</v>
      </c>
      <c r="I22" s="222">
        <v>0</v>
      </c>
      <c r="J22" s="455" t="s">
        <v>348</v>
      </c>
      <c r="K22" s="215">
        <v>0</v>
      </c>
      <c r="L22" s="223"/>
      <c r="M22" s="222"/>
      <c r="N22" s="51">
        <v>0</v>
      </c>
      <c r="O22" s="20">
        <v>0</v>
      </c>
      <c r="P22" s="61"/>
      <c r="Q22" s="300"/>
    </row>
    <row r="23" spans="1:17" ht="12.75" customHeight="1">
      <c r="A23" s="268" t="s">
        <v>226</v>
      </c>
      <c r="B23" s="45">
        <v>0</v>
      </c>
      <c r="C23" s="215">
        <v>0</v>
      </c>
      <c r="D23" s="224">
        <v>0</v>
      </c>
      <c r="E23" s="222">
        <v>0</v>
      </c>
      <c r="F23" s="224">
        <v>0</v>
      </c>
      <c r="G23" s="215">
        <v>0</v>
      </c>
      <c r="H23" s="224">
        <v>0</v>
      </c>
      <c r="I23" s="222">
        <v>0</v>
      </c>
      <c r="J23" s="455" t="s">
        <v>348</v>
      </c>
      <c r="K23" s="215">
        <v>0</v>
      </c>
      <c r="L23" s="223"/>
      <c r="M23" s="222"/>
      <c r="N23" s="51">
        <v>0</v>
      </c>
      <c r="O23" s="20">
        <f>C23+E23+G23+I23+K23+M23</f>
        <v>0</v>
      </c>
      <c r="P23" s="61"/>
      <c r="Q23" s="300"/>
    </row>
    <row r="24" spans="1:15" ht="12.75" customHeight="1">
      <c r="A24" s="49" t="s">
        <v>31</v>
      </c>
      <c r="B24" s="30">
        <v>0</v>
      </c>
      <c r="C24" s="215">
        <v>0</v>
      </c>
      <c r="D24" s="224">
        <v>0</v>
      </c>
      <c r="E24" s="222">
        <v>0</v>
      </c>
      <c r="F24" s="224">
        <v>0</v>
      </c>
      <c r="G24" s="215">
        <v>0</v>
      </c>
      <c r="H24" s="224">
        <v>0</v>
      </c>
      <c r="I24" s="222">
        <v>0</v>
      </c>
      <c r="J24" s="240">
        <v>0</v>
      </c>
      <c r="K24" s="215">
        <v>0</v>
      </c>
      <c r="L24" s="224">
        <v>0</v>
      </c>
      <c r="M24" s="222">
        <v>0</v>
      </c>
      <c r="N24" s="51">
        <f>(B24+D24+F24+H24+J24+L24)</f>
        <v>0</v>
      </c>
      <c r="O24" s="20">
        <f t="shared" si="1"/>
        <v>0</v>
      </c>
    </row>
    <row r="25" spans="1:17" ht="12.75" customHeight="1">
      <c r="A25" s="49" t="s">
        <v>20</v>
      </c>
      <c r="B25" s="30"/>
      <c r="C25" s="215">
        <v>0</v>
      </c>
      <c r="D25" s="224">
        <v>0</v>
      </c>
      <c r="E25" s="222">
        <v>0</v>
      </c>
      <c r="F25" s="224">
        <v>0</v>
      </c>
      <c r="G25" s="215">
        <v>0</v>
      </c>
      <c r="H25" s="224">
        <v>0</v>
      </c>
      <c r="I25" s="222">
        <v>0</v>
      </c>
      <c r="J25" s="240">
        <v>0</v>
      </c>
      <c r="K25" s="215">
        <v>0</v>
      </c>
      <c r="L25" s="224">
        <v>0</v>
      </c>
      <c r="M25" s="222">
        <v>0</v>
      </c>
      <c r="N25" s="51">
        <f>(B25+D25+F25+H25+J25+L25)</f>
        <v>0</v>
      </c>
      <c r="O25" s="20">
        <f t="shared" si="1"/>
        <v>0</v>
      </c>
      <c r="P25" s="61"/>
      <c r="Q25" s="300"/>
    </row>
    <row r="26" spans="1:15" ht="12.75" customHeight="1">
      <c r="A26" s="49" t="s">
        <v>139</v>
      </c>
      <c r="B26" s="30">
        <v>0</v>
      </c>
      <c r="C26" s="215">
        <v>0</v>
      </c>
      <c r="D26" s="224">
        <v>0</v>
      </c>
      <c r="E26" s="222">
        <v>0</v>
      </c>
      <c r="F26" s="224">
        <v>0</v>
      </c>
      <c r="G26" s="215">
        <v>0</v>
      </c>
      <c r="H26" s="224">
        <v>0</v>
      </c>
      <c r="I26" s="222">
        <v>0</v>
      </c>
      <c r="J26" s="240">
        <v>0</v>
      </c>
      <c r="K26" s="215">
        <v>0</v>
      </c>
      <c r="L26" s="224">
        <v>0</v>
      </c>
      <c r="M26" s="222">
        <v>0</v>
      </c>
      <c r="N26" s="51">
        <f>(B26+D26+F26+H26+J26+L26)</f>
        <v>0</v>
      </c>
      <c r="O26" s="20">
        <f t="shared" si="1"/>
        <v>0</v>
      </c>
    </row>
    <row r="27" spans="1:17" ht="12.75" customHeight="1">
      <c r="A27" s="273" t="s">
        <v>42</v>
      </c>
      <c r="B27" s="30">
        <v>0</v>
      </c>
      <c r="C27" s="215">
        <v>0</v>
      </c>
      <c r="D27" s="224">
        <v>0</v>
      </c>
      <c r="E27" s="222">
        <v>0</v>
      </c>
      <c r="F27" s="224">
        <v>0</v>
      </c>
      <c r="G27" s="215">
        <v>0</v>
      </c>
      <c r="H27" s="224">
        <v>0</v>
      </c>
      <c r="I27" s="222">
        <v>0</v>
      </c>
      <c r="J27" s="240">
        <v>0</v>
      </c>
      <c r="K27" s="215">
        <v>0</v>
      </c>
      <c r="L27" s="224">
        <v>0</v>
      </c>
      <c r="M27" s="222">
        <v>0</v>
      </c>
      <c r="N27" s="51">
        <f>(B27+D27+F27+H27+J27+L27)</f>
        <v>0</v>
      </c>
      <c r="O27" s="20">
        <f t="shared" si="1"/>
        <v>0</v>
      </c>
      <c r="P27" s="218"/>
      <c r="Q27" s="300"/>
    </row>
    <row r="28" spans="1:15" s="23" customFormat="1" ht="12.75" customHeight="1">
      <c r="A28" s="12" t="s">
        <v>10</v>
      </c>
      <c r="B28" s="69">
        <f aca="true" t="shared" si="2" ref="B28:N28">SUM(B12:B27)</f>
        <v>348</v>
      </c>
      <c r="C28" s="70">
        <f t="shared" si="2"/>
        <v>48080.98299999999</v>
      </c>
      <c r="D28" s="69">
        <f t="shared" si="2"/>
        <v>568</v>
      </c>
      <c r="E28" s="70">
        <f t="shared" si="2"/>
        <v>63603.992000000006</v>
      </c>
      <c r="F28" s="72">
        <f t="shared" si="2"/>
        <v>1044</v>
      </c>
      <c r="G28" s="73">
        <f t="shared" si="2"/>
        <v>37875.465</v>
      </c>
      <c r="H28" s="69">
        <f t="shared" si="2"/>
        <v>293</v>
      </c>
      <c r="I28" s="73">
        <f t="shared" si="2"/>
        <v>84229.43</v>
      </c>
      <c r="J28" s="69">
        <f t="shared" si="2"/>
        <v>563.25</v>
      </c>
      <c r="K28" s="73">
        <f>SUM(K12:K27)</f>
        <v>23834.397999999997</v>
      </c>
      <c r="L28" s="69">
        <f t="shared" si="2"/>
        <v>2473</v>
      </c>
      <c r="M28" s="74">
        <f>SUM(M12:M27)</f>
        <v>45126.558</v>
      </c>
      <c r="N28" s="69">
        <f t="shared" si="2"/>
        <v>5289.25</v>
      </c>
      <c r="O28" s="73">
        <f>SUM(O12:O27)</f>
        <v>302750.826</v>
      </c>
    </row>
    <row r="29" spans="1:15" ht="12.75">
      <c r="A29" s="24"/>
      <c r="B29" s="25"/>
      <c r="C29" s="26"/>
      <c r="D29" s="25"/>
      <c r="E29" s="26"/>
      <c r="F29" s="25"/>
      <c r="G29" s="27"/>
      <c r="H29" s="25"/>
      <c r="I29" s="27"/>
      <c r="J29" s="25"/>
      <c r="K29" s="27"/>
      <c r="L29" s="25"/>
      <c r="M29" s="27"/>
      <c r="N29" s="28"/>
      <c r="O29" s="28"/>
    </row>
    <row r="30" spans="1:15" ht="12.75">
      <c r="A30" s="4" t="s">
        <v>0</v>
      </c>
      <c r="B30" s="5" t="s">
        <v>1</v>
      </c>
      <c r="C30" s="6"/>
      <c r="D30" s="7" t="s">
        <v>2</v>
      </c>
      <c r="E30" s="8"/>
      <c r="F30" s="7" t="s">
        <v>3</v>
      </c>
      <c r="G30" s="9"/>
      <c r="H30" s="5" t="s">
        <v>4</v>
      </c>
      <c r="I30" s="9"/>
      <c r="J30" s="5" t="s">
        <v>5</v>
      </c>
      <c r="K30" s="9"/>
      <c r="L30" s="5" t="s">
        <v>6</v>
      </c>
      <c r="M30" s="9"/>
      <c r="N30" s="10" t="s">
        <v>19</v>
      </c>
      <c r="O30" s="11"/>
    </row>
    <row r="31" spans="1:15" ht="12.75">
      <c r="A31" s="12" t="s">
        <v>11</v>
      </c>
      <c r="B31" s="13" t="s">
        <v>8</v>
      </c>
      <c r="C31" s="29" t="s">
        <v>9</v>
      </c>
      <c r="D31" s="13" t="s">
        <v>8</v>
      </c>
      <c r="E31" s="29" t="s">
        <v>9</v>
      </c>
      <c r="F31" s="13" t="s">
        <v>8</v>
      </c>
      <c r="G31" s="14" t="s">
        <v>9</v>
      </c>
      <c r="H31" s="4" t="s">
        <v>8</v>
      </c>
      <c r="I31" s="14" t="s">
        <v>9</v>
      </c>
      <c r="J31" s="4" t="s">
        <v>8</v>
      </c>
      <c r="K31" s="14" t="s">
        <v>9</v>
      </c>
      <c r="L31" s="4" t="s">
        <v>8</v>
      </c>
      <c r="M31" s="14" t="s">
        <v>9</v>
      </c>
      <c r="N31" s="15" t="s">
        <v>8</v>
      </c>
      <c r="O31" s="16" t="s">
        <v>9</v>
      </c>
    </row>
    <row r="32" spans="1:15" ht="12.75">
      <c r="A32" s="259" t="s">
        <v>20</v>
      </c>
      <c r="B32" s="30">
        <v>0</v>
      </c>
      <c r="C32" s="241">
        <v>0</v>
      </c>
      <c r="D32" s="242">
        <v>0</v>
      </c>
      <c r="E32" s="243">
        <v>0</v>
      </c>
      <c r="F32" s="224">
        <v>0</v>
      </c>
      <c r="G32" s="221">
        <v>0</v>
      </c>
      <c r="H32" s="225">
        <v>0</v>
      </c>
      <c r="I32" s="221">
        <v>0</v>
      </c>
      <c r="J32" s="225">
        <v>0</v>
      </c>
      <c r="K32" s="221">
        <v>0</v>
      </c>
      <c r="L32" s="225"/>
      <c r="M32" s="221"/>
      <c r="N32" s="50">
        <f>SUM(+B32+D32+F32+H32+J32+L32)</f>
        <v>0</v>
      </c>
      <c r="O32" s="33">
        <f>(+C32+E32+G32+I32+K32+M32)</f>
        <v>0</v>
      </c>
    </row>
    <row r="33" spans="1:15" ht="12.75">
      <c r="A33" s="259" t="s">
        <v>155</v>
      </c>
      <c r="B33" s="30">
        <f>45+8252</f>
        <v>8297</v>
      </c>
      <c r="C33" s="241">
        <f>8.854+257.278</f>
        <v>266.132</v>
      </c>
      <c r="D33" s="240">
        <f>8353+580</f>
        <v>8933</v>
      </c>
      <c r="E33" s="243">
        <f>11.76+225.721</f>
        <v>237.481</v>
      </c>
      <c r="F33" s="224">
        <v>8412</v>
      </c>
      <c r="G33" s="221">
        <v>257.25</v>
      </c>
      <c r="H33" s="225">
        <f>499+9315</f>
        <v>9814</v>
      </c>
      <c r="I33" s="221">
        <f>277.456+15.805</f>
        <v>293.261</v>
      </c>
      <c r="J33" s="225">
        <v>9024</v>
      </c>
      <c r="K33" s="244">
        <v>287.093</v>
      </c>
      <c r="L33" s="224">
        <f>7296+180</f>
        <v>7476</v>
      </c>
      <c r="M33" s="467">
        <f>367.201+3.918</f>
        <v>371.119</v>
      </c>
      <c r="N33" s="50">
        <f>SUM(+B33+D33+F33+H33+J33+L33)</f>
        <v>51956</v>
      </c>
      <c r="O33" s="33">
        <f>(+C33+E33+G33+I33+K33+M33)</f>
        <v>1712.3360000000002</v>
      </c>
    </row>
    <row r="34" spans="1:15" ht="12.75">
      <c r="A34" s="22" t="s">
        <v>27</v>
      </c>
      <c r="B34" s="30">
        <v>0</v>
      </c>
      <c r="C34" s="241">
        <v>0</v>
      </c>
      <c r="D34" s="240">
        <v>0</v>
      </c>
      <c r="E34" s="243">
        <v>0</v>
      </c>
      <c r="F34" s="224">
        <v>0</v>
      </c>
      <c r="G34" s="221">
        <v>0</v>
      </c>
      <c r="H34" s="224">
        <v>3851</v>
      </c>
      <c r="I34" s="221">
        <v>1579.47</v>
      </c>
      <c r="J34" s="225">
        <v>0</v>
      </c>
      <c r="K34" s="221">
        <v>0</v>
      </c>
      <c r="L34" s="224"/>
      <c r="M34" s="221"/>
      <c r="N34" s="54">
        <f>SUM(+B34+D34+F34+H34+J34+L34)</f>
        <v>3851</v>
      </c>
      <c r="O34" s="33">
        <f>(+C34+E34+G34+I34+K34+M34)</f>
        <v>1579.47</v>
      </c>
    </row>
    <row r="35" spans="1:15" ht="12.75">
      <c r="A35" s="22" t="s">
        <v>25</v>
      </c>
      <c r="B35" s="30">
        <v>0</v>
      </c>
      <c r="C35" s="241">
        <v>0</v>
      </c>
      <c r="D35" s="240">
        <v>0</v>
      </c>
      <c r="E35" s="243">
        <v>0</v>
      </c>
      <c r="F35" s="224">
        <v>0</v>
      </c>
      <c r="G35" s="221">
        <v>0</v>
      </c>
      <c r="H35" s="224">
        <v>0</v>
      </c>
      <c r="I35" s="221">
        <v>0</v>
      </c>
      <c r="J35" s="225">
        <v>0</v>
      </c>
      <c r="K35" s="221">
        <v>0</v>
      </c>
      <c r="L35" s="224"/>
      <c r="M35" s="221"/>
      <c r="N35" s="54">
        <f>B35+D35+F35+H35+J35+L35</f>
        <v>0</v>
      </c>
      <c r="O35" s="33">
        <f>I35+K35+M35</f>
        <v>0</v>
      </c>
    </row>
    <row r="36" spans="1:15" ht="12.75">
      <c r="A36" s="34" t="s">
        <v>152</v>
      </c>
      <c r="B36" s="30">
        <v>0</v>
      </c>
      <c r="C36" s="245">
        <v>0</v>
      </c>
      <c r="D36" s="240">
        <v>0</v>
      </c>
      <c r="E36" s="243">
        <v>0</v>
      </c>
      <c r="F36" s="224">
        <v>0</v>
      </c>
      <c r="G36" s="221">
        <v>0</v>
      </c>
      <c r="H36" s="246">
        <v>0</v>
      </c>
      <c r="I36" s="221">
        <v>0</v>
      </c>
      <c r="J36" s="225">
        <v>0</v>
      </c>
      <c r="K36" s="221">
        <v>0</v>
      </c>
      <c r="L36" s="224"/>
      <c r="M36" s="221"/>
      <c r="N36" s="54">
        <f>SUM(+B36+D36+F36+H36+J36+L36)</f>
        <v>0</v>
      </c>
      <c r="O36" s="33">
        <f>(+C36+E36+G36+I36+K36+M36)</f>
        <v>0</v>
      </c>
    </row>
    <row r="37" spans="1:15" ht="12.75">
      <c r="A37" s="366" t="s">
        <v>246</v>
      </c>
      <c r="B37" s="30"/>
      <c r="C37" s="241"/>
      <c r="D37" s="240"/>
      <c r="E37" s="243">
        <v>5262.15</v>
      </c>
      <c r="F37" s="224">
        <v>0</v>
      </c>
      <c r="G37" s="221">
        <v>0</v>
      </c>
      <c r="H37" s="365">
        <v>0</v>
      </c>
      <c r="I37" s="221">
        <v>7071.65</v>
      </c>
      <c r="J37" s="225">
        <v>0</v>
      </c>
      <c r="K37" s="221">
        <v>3671.91</v>
      </c>
      <c r="L37" s="224"/>
      <c r="M37" s="467">
        <v>4351.74</v>
      </c>
      <c r="N37" s="54">
        <v>0</v>
      </c>
      <c r="O37" s="33">
        <f>(+C37+E37+G37+I37+K37+M37)</f>
        <v>20357.449999999997</v>
      </c>
    </row>
    <row r="38" spans="1:15" ht="12.75">
      <c r="A38" s="327" t="s">
        <v>221</v>
      </c>
      <c r="B38" s="30">
        <v>0</v>
      </c>
      <c r="C38" s="367">
        <v>0</v>
      </c>
      <c r="D38" s="240">
        <v>0</v>
      </c>
      <c r="E38" s="243">
        <v>0</v>
      </c>
      <c r="F38" s="224">
        <v>0</v>
      </c>
      <c r="G38" s="221">
        <v>0</v>
      </c>
      <c r="H38" s="224">
        <v>0</v>
      </c>
      <c r="I38" s="221">
        <v>0</v>
      </c>
      <c r="J38" s="225">
        <v>0</v>
      </c>
      <c r="K38" s="221">
        <v>0</v>
      </c>
      <c r="L38" s="224"/>
      <c r="M38" s="221"/>
      <c r="N38" s="50">
        <f>SUM(+B38+D38+F38+H38+J38+L38)</f>
        <v>0</v>
      </c>
      <c r="O38" s="430">
        <f>(+C38+E38+G38+I38+K38+M38)</f>
        <v>0</v>
      </c>
    </row>
    <row r="39" spans="1:15" ht="12.75">
      <c r="A39" s="22" t="s">
        <v>167</v>
      </c>
      <c r="B39" s="30">
        <v>0</v>
      </c>
      <c r="C39" s="241">
        <v>0</v>
      </c>
      <c r="D39" s="240">
        <v>0</v>
      </c>
      <c r="E39" s="243">
        <v>0</v>
      </c>
      <c r="F39" s="224">
        <v>0</v>
      </c>
      <c r="G39" s="221">
        <v>0</v>
      </c>
      <c r="H39" s="223">
        <v>0</v>
      </c>
      <c r="I39" s="221">
        <v>0</v>
      </c>
      <c r="J39" s="247">
        <v>0</v>
      </c>
      <c r="K39" s="221">
        <v>0</v>
      </c>
      <c r="L39" s="223"/>
      <c r="M39" s="221"/>
      <c r="N39" s="50">
        <f>SUM(+B39+D39+F39+H39+J39+L39)</f>
        <v>0</v>
      </c>
      <c r="O39" s="33">
        <f>(+C39+E39+G39+I39+K39+M39)</f>
        <v>0</v>
      </c>
    </row>
    <row r="40" spans="1:15" ht="12.75">
      <c r="A40" s="259" t="s">
        <v>146</v>
      </c>
      <c r="B40" s="30">
        <v>0</v>
      </c>
      <c r="C40" s="241">
        <v>0</v>
      </c>
      <c r="D40" s="240">
        <v>0</v>
      </c>
      <c r="E40" s="243">
        <v>0</v>
      </c>
      <c r="F40" s="224">
        <v>0</v>
      </c>
      <c r="G40" s="221">
        <v>0</v>
      </c>
      <c r="H40" s="224">
        <v>0</v>
      </c>
      <c r="I40" s="221">
        <v>0</v>
      </c>
      <c r="J40" s="225">
        <v>0</v>
      </c>
      <c r="K40" s="221">
        <v>0</v>
      </c>
      <c r="L40" s="224"/>
      <c r="M40" s="221"/>
      <c r="N40" s="50">
        <f>SUM(+B40+D40+F40+H40+J40+L40)</f>
        <v>0</v>
      </c>
      <c r="O40" s="33">
        <f>(+C40+E40+G40+I40+K40+M40)</f>
        <v>0</v>
      </c>
    </row>
    <row r="41" spans="1:15" ht="12.75">
      <c r="A41" s="259" t="s">
        <v>261</v>
      </c>
      <c r="B41" s="30">
        <v>0</v>
      </c>
      <c r="C41" s="241">
        <v>0</v>
      </c>
      <c r="D41" s="240">
        <v>404000</v>
      </c>
      <c r="E41" s="243">
        <v>20000.646</v>
      </c>
      <c r="F41" s="224">
        <v>0</v>
      </c>
      <c r="G41" s="221">
        <v>0</v>
      </c>
      <c r="H41" s="224">
        <v>297697</v>
      </c>
      <c r="I41" s="221">
        <v>14676.518</v>
      </c>
      <c r="J41" s="225">
        <v>0</v>
      </c>
      <c r="K41" s="221">
        <v>0</v>
      </c>
      <c r="L41" s="224"/>
      <c r="M41" s="221"/>
      <c r="N41" s="50">
        <f>SUM(B41,D41,F41,H41,J41,L41)</f>
        <v>701697</v>
      </c>
      <c r="O41" s="33">
        <f>SUM(C41,E41,G41,I41,K41,M41)</f>
        <v>34677.164000000004</v>
      </c>
    </row>
    <row r="42" spans="1:15" ht="12.75">
      <c r="A42" s="12" t="s">
        <v>10</v>
      </c>
      <c r="B42" s="69">
        <f aca="true" t="shared" si="3" ref="B42:I42">SUM(B32:B41)</f>
        <v>8297</v>
      </c>
      <c r="C42" s="70">
        <f t="shared" si="3"/>
        <v>266.132</v>
      </c>
      <c r="D42" s="69">
        <f t="shared" si="3"/>
        <v>412933</v>
      </c>
      <c r="E42" s="71">
        <f t="shared" si="3"/>
        <v>25500.277000000002</v>
      </c>
      <c r="F42" s="69">
        <f t="shared" si="3"/>
        <v>8412</v>
      </c>
      <c r="G42" s="73">
        <f>SUM(G32:G41)</f>
        <v>257.25</v>
      </c>
      <c r="H42" s="69">
        <f t="shared" si="3"/>
        <v>311362</v>
      </c>
      <c r="I42" s="73">
        <f t="shared" si="3"/>
        <v>23620.898999999998</v>
      </c>
      <c r="J42" s="69">
        <f aca="true" t="shared" si="4" ref="J42:O42">SUM(J32:J41)</f>
        <v>9024</v>
      </c>
      <c r="K42" s="73">
        <f t="shared" si="4"/>
        <v>3959.0029999999997</v>
      </c>
      <c r="L42" s="69">
        <f t="shared" si="4"/>
        <v>7476</v>
      </c>
      <c r="M42" s="73">
        <f t="shared" si="4"/>
        <v>4722.8589999999995</v>
      </c>
      <c r="N42" s="69">
        <f t="shared" si="4"/>
        <v>757504</v>
      </c>
      <c r="O42" s="73">
        <f t="shared" si="4"/>
        <v>58326.42</v>
      </c>
    </row>
    <row r="43" spans="1:15" ht="12.75">
      <c r="A43" s="38"/>
      <c r="B43" s="17" t="s">
        <v>12</v>
      </c>
      <c r="C43" s="19"/>
      <c r="E43" s="19"/>
      <c r="F43" s="52"/>
      <c r="G43" s="32"/>
      <c r="H43" s="44"/>
      <c r="I43" s="32"/>
      <c r="J43" s="39"/>
      <c r="K43" s="32"/>
      <c r="L43" s="39"/>
      <c r="M43" s="32"/>
      <c r="N43" s="36"/>
      <c r="O43" s="33"/>
    </row>
    <row r="44" spans="1:15" ht="12.75">
      <c r="A44" s="37" t="s">
        <v>13</v>
      </c>
      <c r="B44" s="67">
        <f>B42+B28</f>
        <v>8645</v>
      </c>
      <c r="C44" s="68">
        <f>C42+C28</f>
        <v>48347.11499999999</v>
      </c>
      <c r="D44" s="67">
        <f>D42+D28</f>
        <v>413501</v>
      </c>
      <c r="E44" s="68">
        <f aca="true" t="shared" si="5" ref="E44:N44">SUM(+E28+E42)</f>
        <v>89104.269</v>
      </c>
      <c r="F44" s="67">
        <f t="shared" si="5"/>
        <v>9456</v>
      </c>
      <c r="G44" s="68">
        <f t="shared" si="5"/>
        <v>38132.715</v>
      </c>
      <c r="H44" s="67">
        <f t="shared" si="5"/>
        <v>311655</v>
      </c>
      <c r="I44" s="68">
        <f t="shared" si="5"/>
        <v>107850.329</v>
      </c>
      <c r="J44" s="67">
        <f t="shared" si="5"/>
        <v>9587.25</v>
      </c>
      <c r="K44" s="68">
        <f t="shared" si="5"/>
        <v>27793.400999999998</v>
      </c>
      <c r="L44" s="67">
        <f t="shared" si="5"/>
        <v>9949</v>
      </c>
      <c r="M44" s="68">
        <f t="shared" si="5"/>
        <v>49849.416999999994</v>
      </c>
      <c r="N44" s="67">
        <f t="shared" si="5"/>
        <v>762793.25</v>
      </c>
      <c r="O44" s="354">
        <f>SUM(+O28+O42)</f>
        <v>361077.246</v>
      </c>
    </row>
    <row r="45" spans="1:15" ht="12.75">
      <c r="A45" s="65"/>
      <c r="C45" s="2"/>
      <c r="E45" s="40"/>
      <c r="O45" s="53"/>
    </row>
    <row r="46" spans="1:15" ht="15">
      <c r="A46" s="465"/>
      <c r="B46" s="1"/>
      <c r="C46" s="61"/>
      <c r="D46" s="1"/>
      <c r="E46" s="231"/>
      <c r="F46" s="213"/>
      <c r="G46" s="214"/>
      <c r="H46" s="1"/>
      <c r="I46" s="1"/>
      <c r="J46" s="1"/>
      <c r="K46" s="218"/>
      <c r="L46" s="1"/>
      <c r="M46" s="42"/>
      <c r="O46" s="42"/>
    </row>
    <row r="47" spans="1:15" ht="12.75">
      <c r="A47" s="466"/>
      <c r="B47" s="1"/>
      <c r="C47" s="61"/>
      <c r="D47" s="1"/>
      <c r="E47" s="42"/>
      <c r="F47" s="1"/>
      <c r="G47" s="1"/>
      <c r="H47" s="1"/>
      <c r="I47" s="1"/>
      <c r="J47" s="1"/>
      <c r="K47" s="1"/>
      <c r="L47" s="1"/>
      <c r="M47" s="42"/>
      <c r="O47" s="42"/>
    </row>
    <row r="48" spans="1:15" ht="12.75">
      <c r="A48" s="465"/>
      <c r="B48" s="1"/>
      <c r="C48" s="61"/>
      <c r="D48" s="1"/>
      <c r="E48" s="42"/>
      <c r="F48" s="1"/>
      <c r="G48" s="1"/>
      <c r="H48" s="1"/>
      <c r="I48" s="1"/>
      <c r="J48" s="1"/>
      <c r="K48" s="1"/>
      <c r="L48" s="1"/>
      <c r="M48" s="248"/>
      <c r="O48" s="42"/>
    </row>
    <row r="49" spans="1:16" ht="12.75">
      <c r="A49" s="465"/>
      <c r="B49" s="1"/>
      <c r="C49" s="61"/>
      <c r="D49" s="1"/>
      <c r="E49" s="42"/>
      <c r="F49" s="1"/>
      <c r="G49" s="1"/>
      <c r="H49" s="1"/>
      <c r="I49" s="1"/>
      <c r="J49" s="1"/>
      <c r="K49" s="1"/>
      <c r="L49" s="1"/>
      <c r="M49" s="42"/>
      <c r="O49" s="42"/>
      <c r="P49" s="333" t="s">
        <v>12</v>
      </c>
    </row>
    <row r="50" spans="1:16" ht="12.75">
      <c r="A50" s="465"/>
      <c r="B50" s="1"/>
      <c r="C50" s="61"/>
      <c r="D50" s="1"/>
      <c r="E50" s="42"/>
      <c r="F50" s="1"/>
      <c r="G50" s="1"/>
      <c r="H50" s="1"/>
      <c r="I50" s="1"/>
      <c r="J50" s="1"/>
      <c r="K50" s="1"/>
      <c r="L50" s="1"/>
      <c r="M50" s="42"/>
      <c r="O50" s="42"/>
      <c r="P50" s="333" t="s">
        <v>12</v>
      </c>
    </row>
    <row r="51" spans="2:15" ht="12.75">
      <c r="B51" s="1"/>
      <c r="C51" s="61"/>
      <c r="D51" s="213"/>
      <c r="E51" s="42"/>
      <c r="F51" s="1"/>
      <c r="G51" s="1"/>
      <c r="H51" s="1"/>
      <c r="I51" s="1"/>
      <c r="J51" s="1"/>
      <c r="K51" s="1"/>
      <c r="L51" s="1"/>
      <c r="M51" s="42"/>
      <c r="O51" s="42"/>
    </row>
    <row r="52" spans="2:15" ht="12.75">
      <c r="B52" s="1"/>
      <c r="C52" s="61"/>
      <c r="D52" s="1"/>
      <c r="E52" s="42"/>
      <c r="F52" s="1"/>
      <c r="G52" s="1"/>
      <c r="H52" s="1"/>
      <c r="I52" s="1"/>
      <c r="J52" s="1"/>
      <c r="K52" s="1"/>
      <c r="L52" s="1"/>
      <c r="M52" s="42"/>
      <c r="O52" s="42"/>
    </row>
    <row r="53" spans="2:15" ht="12.75">
      <c r="B53" s="1"/>
      <c r="C53" s="61"/>
      <c r="D53" s="1"/>
      <c r="E53" s="42"/>
      <c r="F53" s="1"/>
      <c r="G53" s="1"/>
      <c r="H53" s="1"/>
      <c r="I53" s="1"/>
      <c r="J53" s="218"/>
      <c r="K53" s="1"/>
      <c r="L53" s="1"/>
      <c r="M53" s="42"/>
      <c r="O53" s="42"/>
    </row>
    <row r="54" spans="2:15" ht="12.75">
      <c r="B54" s="1"/>
      <c r="C54" s="61"/>
      <c r="D54" s="1"/>
      <c r="E54" s="42"/>
      <c r="F54" s="1"/>
      <c r="G54" s="1"/>
      <c r="H54" s="1"/>
      <c r="I54" s="1"/>
      <c r="J54" s="1"/>
      <c r="K54" s="1"/>
      <c r="L54" s="1"/>
      <c r="M54" s="42"/>
      <c r="O54" s="42"/>
    </row>
    <row r="55" spans="2:15" ht="12.75">
      <c r="B55" s="1"/>
      <c r="C55" s="61"/>
      <c r="D55" s="1"/>
      <c r="E55" s="42"/>
      <c r="F55" s="1"/>
      <c r="G55" s="1"/>
      <c r="H55" s="1"/>
      <c r="I55" s="1"/>
      <c r="J55" s="1"/>
      <c r="K55" s="1"/>
      <c r="L55" s="1"/>
      <c r="M55" s="42"/>
      <c r="O55" s="42"/>
    </row>
    <row r="56" spans="2:15" ht="12.75">
      <c r="B56" s="1"/>
      <c r="C56" s="61"/>
      <c r="D56" s="1"/>
      <c r="E56" s="42"/>
      <c r="F56" s="1"/>
      <c r="G56" s="1"/>
      <c r="H56" s="1"/>
      <c r="I56" s="1"/>
      <c r="J56" s="1"/>
      <c r="K56" s="1"/>
      <c r="L56" s="1"/>
      <c r="M56" s="42"/>
      <c r="O56" s="42"/>
    </row>
    <row r="57" spans="2:15" ht="12.75">
      <c r="B57" s="1"/>
      <c r="C57" s="61"/>
      <c r="D57" s="1"/>
      <c r="E57" s="42"/>
      <c r="F57" s="1"/>
      <c r="G57" s="1"/>
      <c r="H57" s="1"/>
      <c r="I57" s="1"/>
      <c r="J57" s="1"/>
      <c r="K57" s="1"/>
      <c r="L57" s="1"/>
      <c r="M57" s="42"/>
      <c r="O57" s="42"/>
    </row>
    <row r="58" spans="2:15" ht="12.75">
      <c r="B58" s="1"/>
      <c r="C58" s="61"/>
      <c r="D58" s="1"/>
      <c r="E58" s="42"/>
      <c r="F58" s="1"/>
      <c r="G58" s="1"/>
      <c r="H58" s="1"/>
      <c r="I58" s="1"/>
      <c r="J58" s="1"/>
      <c r="K58" s="1"/>
      <c r="L58" s="1"/>
      <c r="M58" s="42"/>
      <c r="O58" s="42"/>
    </row>
    <row r="59" spans="2:15" ht="12.75">
      <c r="B59" s="1"/>
      <c r="C59" s="61"/>
      <c r="D59" s="1"/>
      <c r="E59" s="42"/>
      <c r="F59" s="1"/>
      <c r="G59" s="1"/>
      <c r="H59" s="1"/>
      <c r="I59" s="1"/>
      <c r="J59" s="1"/>
      <c r="K59" s="1"/>
      <c r="L59" s="1"/>
      <c r="M59" s="42"/>
      <c r="O59" s="42"/>
    </row>
    <row r="60" spans="2:15" ht="12.75">
      <c r="B60" s="1"/>
      <c r="C60" s="61"/>
      <c r="D60" s="1"/>
      <c r="E60" s="42"/>
      <c r="F60" s="1"/>
      <c r="G60" s="1"/>
      <c r="H60" s="1"/>
      <c r="I60" s="1"/>
      <c r="J60" s="1"/>
      <c r="K60" s="1"/>
      <c r="L60" s="1"/>
      <c r="M60" s="42"/>
      <c r="O60" s="42"/>
    </row>
    <row r="61" spans="2:15" ht="12.75">
      <c r="B61" s="1"/>
      <c r="C61" s="61"/>
      <c r="D61" s="1"/>
      <c r="E61" s="42"/>
      <c r="F61" s="1"/>
      <c r="G61" s="1"/>
      <c r="H61" s="1"/>
      <c r="I61" s="1"/>
      <c r="J61" s="1"/>
      <c r="K61" s="1"/>
      <c r="L61" s="1"/>
      <c r="M61" s="42"/>
      <c r="O61" s="42"/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42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42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5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3.5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5" ht="21.75" thickBot="1" thickTop="1">
      <c r="A68" s="594" t="s">
        <v>282</v>
      </c>
      <c r="B68" s="595"/>
      <c r="C68" s="595"/>
      <c r="D68" s="595"/>
      <c r="E68" s="595"/>
      <c r="F68" s="595"/>
      <c r="G68" s="595"/>
      <c r="H68" s="595"/>
      <c r="I68" s="595"/>
      <c r="J68" s="595"/>
      <c r="K68" s="595"/>
      <c r="L68" s="595"/>
      <c r="M68" s="595"/>
      <c r="N68" s="595"/>
      <c r="O68" s="596"/>
    </row>
    <row r="69" ht="13.5" thickTop="1"/>
    <row r="70" spans="1:15" ht="12.75">
      <c r="A70" s="4" t="s">
        <v>0</v>
      </c>
      <c r="B70" s="592" t="s">
        <v>36</v>
      </c>
      <c r="C70" s="593"/>
      <c r="D70" s="592" t="s">
        <v>15</v>
      </c>
      <c r="E70" s="593"/>
      <c r="F70" s="592" t="s">
        <v>32</v>
      </c>
      <c r="G70" s="593"/>
      <c r="H70" s="592" t="s">
        <v>33</v>
      </c>
      <c r="I70" s="593"/>
      <c r="J70" s="592" t="s">
        <v>34</v>
      </c>
      <c r="K70" s="593"/>
      <c r="L70" s="592" t="s">
        <v>35</v>
      </c>
      <c r="M70" s="593"/>
      <c r="N70" s="10" t="s">
        <v>7</v>
      </c>
      <c r="O70" s="11"/>
    </row>
    <row r="71" spans="1:15" ht="12.75">
      <c r="A71" s="4" t="s">
        <v>24</v>
      </c>
      <c r="B71" s="13" t="s">
        <v>8</v>
      </c>
      <c r="C71" s="14" t="s">
        <v>9</v>
      </c>
      <c r="D71" s="13" t="s">
        <v>8</v>
      </c>
      <c r="E71" s="14" t="s">
        <v>9</v>
      </c>
      <c r="F71" s="4" t="s">
        <v>8</v>
      </c>
      <c r="G71" s="14" t="s">
        <v>9</v>
      </c>
      <c r="H71" s="4" t="s">
        <v>8</v>
      </c>
      <c r="I71" s="14" t="s">
        <v>9</v>
      </c>
      <c r="J71" s="13" t="s">
        <v>8</v>
      </c>
      <c r="K71" s="14" t="s">
        <v>9</v>
      </c>
      <c r="L71" s="13" t="s">
        <v>8</v>
      </c>
      <c r="M71" s="14" t="s">
        <v>9</v>
      </c>
      <c r="N71" s="15" t="s">
        <v>8</v>
      </c>
      <c r="O71" s="16" t="s">
        <v>9</v>
      </c>
    </row>
    <row r="72" spans="1:17" ht="12.75">
      <c r="A72" s="310" t="s">
        <v>21</v>
      </c>
      <c r="B72" s="45">
        <v>0</v>
      </c>
      <c r="C72" s="18">
        <f>19114.62+16008.93</f>
        <v>35123.55</v>
      </c>
      <c r="D72" s="44">
        <v>0</v>
      </c>
      <c r="E72" s="18">
        <f>29748.46+9997.58</f>
        <v>39746.04</v>
      </c>
      <c r="F72" s="45">
        <v>0</v>
      </c>
      <c r="G72" s="18">
        <f>3992.09+15167.55</f>
        <v>19159.64</v>
      </c>
      <c r="H72" s="44">
        <v>0</v>
      </c>
      <c r="I72" s="19">
        <f>21862.36+21128.64+8493.64</f>
        <v>51484.64</v>
      </c>
      <c r="J72" s="45">
        <v>0</v>
      </c>
      <c r="K72" s="18">
        <f>7713.06+15117.29</f>
        <v>22830.350000000002</v>
      </c>
      <c r="L72" s="44">
        <v>0</v>
      </c>
      <c r="M72" s="19">
        <f>16504.75+26514.31</f>
        <v>43019.06</v>
      </c>
      <c r="N72" s="51">
        <f aca="true" t="shared" si="6" ref="N72:O75">N12+B72+D72+F72+H72+J72+L72</f>
        <v>0</v>
      </c>
      <c r="O72" s="20">
        <f t="shared" si="6"/>
        <v>420100.9</v>
      </c>
      <c r="P72" s="300"/>
      <c r="Q72" s="42"/>
    </row>
    <row r="73" spans="1:15" ht="12.75">
      <c r="A73" s="48" t="s">
        <v>29</v>
      </c>
      <c r="B73" s="45">
        <v>0</v>
      </c>
      <c r="C73" s="18">
        <v>0</v>
      </c>
      <c r="D73" s="44">
        <v>0</v>
      </c>
      <c r="E73" s="18">
        <v>0</v>
      </c>
      <c r="F73" s="45">
        <v>0</v>
      </c>
      <c r="G73" s="18">
        <v>0</v>
      </c>
      <c r="H73" s="44">
        <v>0</v>
      </c>
      <c r="I73" s="19">
        <v>7952.9</v>
      </c>
      <c r="J73" s="30">
        <v>0</v>
      </c>
      <c r="K73" s="18">
        <v>0</v>
      </c>
      <c r="L73" s="44">
        <v>0</v>
      </c>
      <c r="M73" s="19">
        <v>0</v>
      </c>
      <c r="N73" s="51">
        <f t="shared" si="6"/>
        <v>0</v>
      </c>
      <c r="O73" s="20">
        <f t="shared" si="6"/>
        <v>7952.9</v>
      </c>
    </row>
    <row r="74" spans="1:15" ht="12.75">
      <c r="A74" s="48" t="s">
        <v>22</v>
      </c>
      <c r="B74" s="45">
        <v>0</v>
      </c>
      <c r="C74" s="18">
        <v>0</v>
      </c>
      <c r="D74" s="44">
        <v>0</v>
      </c>
      <c r="E74" s="18">
        <v>0</v>
      </c>
      <c r="F74" s="45">
        <v>0</v>
      </c>
      <c r="G74" s="18">
        <v>13233.2</v>
      </c>
      <c r="H74" s="44">
        <v>0</v>
      </c>
      <c r="I74" s="19">
        <v>0</v>
      </c>
      <c r="J74" s="45">
        <v>0</v>
      </c>
      <c r="K74" s="18">
        <v>0</v>
      </c>
      <c r="L74" s="44">
        <v>0</v>
      </c>
      <c r="M74" s="19">
        <v>0</v>
      </c>
      <c r="N74" s="51">
        <f t="shared" si="6"/>
        <v>0</v>
      </c>
      <c r="O74" s="20">
        <f t="shared" si="6"/>
        <v>56218.58</v>
      </c>
    </row>
    <row r="75" spans="1:16" ht="12.75">
      <c r="A75" s="310" t="s">
        <v>23</v>
      </c>
      <c r="B75" s="45">
        <v>0</v>
      </c>
      <c r="C75" s="18">
        <v>0</v>
      </c>
      <c r="D75" s="44">
        <v>0</v>
      </c>
      <c r="E75" s="18">
        <v>21892.7</v>
      </c>
      <c r="F75" s="45">
        <v>0</v>
      </c>
      <c r="G75" s="18">
        <v>0</v>
      </c>
      <c r="H75" s="44">
        <v>0</v>
      </c>
      <c r="I75" s="19">
        <f>6533.09</f>
        <v>6533.09</v>
      </c>
      <c r="J75" s="45">
        <v>0</v>
      </c>
      <c r="K75" s="18">
        <f>24895.24+18976.8</f>
        <v>43872.04</v>
      </c>
      <c r="L75" s="44">
        <v>0</v>
      </c>
      <c r="M75" s="19">
        <v>0</v>
      </c>
      <c r="N75" s="51">
        <f t="shared" si="6"/>
        <v>0</v>
      </c>
      <c r="O75" s="20">
        <f t="shared" si="6"/>
        <v>113059.85</v>
      </c>
      <c r="P75" s="61"/>
    </row>
    <row r="76" spans="1:16" ht="12.75">
      <c r="A76" s="259" t="s">
        <v>155</v>
      </c>
      <c r="B76" s="30">
        <v>557</v>
      </c>
      <c r="C76" s="18">
        <v>14.32</v>
      </c>
      <c r="D76" s="31">
        <v>1125</v>
      </c>
      <c r="E76" s="18">
        <v>28.369</v>
      </c>
      <c r="F76" s="30">
        <f>346</f>
        <v>346</v>
      </c>
      <c r="G76" s="18">
        <v>14.579</v>
      </c>
      <c r="H76" s="31">
        <v>645</v>
      </c>
      <c r="I76" s="19">
        <v>34.567</v>
      </c>
      <c r="J76" s="30">
        <v>601</v>
      </c>
      <c r="K76" s="18">
        <v>22.152</v>
      </c>
      <c r="L76" s="31">
        <f>18+690</f>
        <v>708</v>
      </c>
      <c r="M76" s="19">
        <f>47.612+2.75</f>
        <v>50.362</v>
      </c>
      <c r="N76" s="51">
        <f>N16+B76+D76+F76+H76+J76</f>
        <v>8563.25</v>
      </c>
      <c r="O76" s="20">
        <f aca="true" t="shared" si="7" ref="O76:O81">O16+C76+E76+G76+I76+K76+M76</f>
        <v>351.395</v>
      </c>
      <c r="P76" s="61"/>
    </row>
    <row r="77" spans="1:15" ht="12.75">
      <c r="A77" s="48" t="s">
        <v>44</v>
      </c>
      <c r="B77" s="30">
        <v>0</v>
      </c>
      <c r="C77" s="18">
        <v>0</v>
      </c>
      <c r="D77" s="31">
        <v>0</v>
      </c>
      <c r="E77" s="18">
        <v>0</v>
      </c>
      <c r="F77" s="45">
        <v>0</v>
      </c>
      <c r="G77" s="18">
        <v>0</v>
      </c>
      <c r="H77" s="44">
        <v>0</v>
      </c>
      <c r="I77" s="19">
        <v>0</v>
      </c>
      <c r="J77" s="45">
        <v>0</v>
      </c>
      <c r="K77" s="18">
        <v>0</v>
      </c>
      <c r="L77" s="31">
        <v>0</v>
      </c>
      <c r="M77" s="19">
        <v>0</v>
      </c>
      <c r="N77" s="51">
        <f>N17+B77+D77+F77+H77+J77+L77</f>
        <v>0</v>
      </c>
      <c r="O77" s="20">
        <f t="shared" si="7"/>
        <v>0</v>
      </c>
    </row>
    <row r="78" spans="1:16" ht="12.75">
      <c r="A78" s="268" t="s">
        <v>26</v>
      </c>
      <c r="B78" s="30">
        <v>0</v>
      </c>
      <c r="C78" s="18">
        <v>0</v>
      </c>
      <c r="D78" s="31">
        <v>0</v>
      </c>
      <c r="E78" s="18">
        <v>0</v>
      </c>
      <c r="F78" s="30">
        <v>0</v>
      </c>
      <c r="G78" s="18">
        <v>0</v>
      </c>
      <c r="H78" s="31">
        <v>0</v>
      </c>
      <c r="I78" s="19">
        <v>0</v>
      </c>
      <c r="J78" s="30">
        <v>0</v>
      </c>
      <c r="K78" s="18">
        <v>0</v>
      </c>
      <c r="L78" s="31">
        <v>0</v>
      </c>
      <c r="M78" s="19">
        <v>0</v>
      </c>
      <c r="N78" s="51">
        <f>N18+B78+D78+F78+H78+J78+L78</f>
        <v>0</v>
      </c>
      <c r="O78" s="20">
        <f t="shared" si="7"/>
        <v>0</v>
      </c>
      <c r="P78" s="218"/>
    </row>
    <row r="79" spans="1:15" ht="12.75">
      <c r="A79" s="49" t="s">
        <v>156</v>
      </c>
      <c r="B79" s="30">
        <v>0</v>
      </c>
      <c r="C79" s="18">
        <v>0</v>
      </c>
      <c r="D79" s="31">
        <v>0</v>
      </c>
      <c r="E79" s="19">
        <v>0</v>
      </c>
      <c r="F79" s="30">
        <v>0</v>
      </c>
      <c r="G79" s="18">
        <v>0</v>
      </c>
      <c r="H79" s="31">
        <v>0</v>
      </c>
      <c r="I79" s="19">
        <v>0</v>
      </c>
      <c r="J79" s="45">
        <v>0</v>
      </c>
      <c r="K79" s="18">
        <v>0</v>
      </c>
      <c r="L79" s="44">
        <v>0</v>
      </c>
      <c r="M79" s="19">
        <v>0</v>
      </c>
      <c r="N79" s="51">
        <f>N19+B79+D79+F79+H79+J79+L79</f>
        <v>0</v>
      </c>
      <c r="O79" s="20">
        <f t="shared" si="7"/>
        <v>0</v>
      </c>
    </row>
    <row r="80" spans="1:16" ht="12.75">
      <c r="A80" s="268" t="s">
        <v>28</v>
      </c>
      <c r="B80" s="45">
        <v>0</v>
      </c>
      <c r="C80" s="18">
        <v>0</v>
      </c>
      <c r="D80" s="31">
        <v>0</v>
      </c>
      <c r="E80" s="19">
        <v>0</v>
      </c>
      <c r="F80" s="45">
        <v>0</v>
      </c>
      <c r="G80" s="18">
        <v>0</v>
      </c>
      <c r="H80" s="31">
        <v>0</v>
      </c>
      <c r="I80" s="19">
        <v>0</v>
      </c>
      <c r="J80" s="45">
        <v>0</v>
      </c>
      <c r="K80" s="18">
        <v>0</v>
      </c>
      <c r="L80" s="44">
        <v>0</v>
      </c>
      <c r="M80" s="19">
        <v>0</v>
      </c>
      <c r="N80" s="51">
        <f>N20+B80+D80+F80+H80+J80+L80</f>
        <v>0</v>
      </c>
      <c r="O80" s="20">
        <f t="shared" si="7"/>
        <v>10078.76</v>
      </c>
      <c r="P80" s="61"/>
    </row>
    <row r="81" spans="1:15" ht="12.75" customHeight="1">
      <c r="A81" s="268" t="s">
        <v>498</v>
      </c>
      <c r="B81" s="45">
        <v>0</v>
      </c>
      <c r="C81" s="18">
        <v>0</v>
      </c>
      <c r="D81" s="31">
        <v>0</v>
      </c>
      <c r="E81" s="19">
        <v>0</v>
      </c>
      <c r="F81" s="30">
        <v>0</v>
      </c>
      <c r="G81" s="18">
        <v>0</v>
      </c>
      <c r="H81" s="31">
        <v>0</v>
      </c>
      <c r="I81" s="19">
        <v>0</v>
      </c>
      <c r="J81" s="45">
        <v>0</v>
      </c>
      <c r="K81" s="18">
        <v>0</v>
      </c>
      <c r="L81" s="44">
        <v>0</v>
      </c>
      <c r="M81" s="19">
        <v>9899.08</v>
      </c>
      <c r="N81" s="51">
        <f>N21+B81+D81+F81+H81+J81+L81</f>
        <v>0</v>
      </c>
      <c r="O81" s="20">
        <f t="shared" si="7"/>
        <v>9899.08</v>
      </c>
    </row>
    <row r="82" spans="1:15" ht="12.75">
      <c r="A82" s="268" t="s">
        <v>230</v>
      </c>
      <c r="B82" s="30">
        <v>0</v>
      </c>
      <c r="C82" s="18">
        <v>0</v>
      </c>
      <c r="D82" s="31">
        <v>0</v>
      </c>
      <c r="E82" s="19">
        <v>0</v>
      </c>
      <c r="F82" s="31">
        <v>0</v>
      </c>
      <c r="G82" s="18">
        <v>0</v>
      </c>
      <c r="H82" s="31">
        <v>0</v>
      </c>
      <c r="I82" s="19">
        <v>0</v>
      </c>
      <c r="J82" s="30">
        <v>0</v>
      </c>
      <c r="K82" s="18">
        <v>0</v>
      </c>
      <c r="L82" s="31">
        <v>0</v>
      </c>
      <c r="M82" s="19">
        <v>0</v>
      </c>
      <c r="N82" s="51">
        <f>N24+B82+D82+F82+H82+J82+L82</f>
        <v>0</v>
      </c>
      <c r="O82" s="20">
        <f>O23+C82+E82+G82+I82+K82+M82</f>
        <v>0</v>
      </c>
    </row>
    <row r="83" spans="1:15" ht="12.75">
      <c r="A83" s="268" t="s">
        <v>220</v>
      </c>
      <c r="B83" s="30">
        <v>0</v>
      </c>
      <c r="C83" s="18">
        <v>0</v>
      </c>
      <c r="D83" s="31">
        <v>0</v>
      </c>
      <c r="E83" s="19">
        <v>0</v>
      </c>
      <c r="F83" s="31">
        <v>0</v>
      </c>
      <c r="G83" s="18">
        <v>0</v>
      </c>
      <c r="H83" s="31">
        <v>0</v>
      </c>
      <c r="I83" s="19">
        <v>0</v>
      </c>
      <c r="J83" s="30">
        <v>0</v>
      </c>
      <c r="K83" s="18">
        <v>0</v>
      </c>
      <c r="L83" s="31">
        <v>0</v>
      </c>
      <c r="M83" s="19">
        <v>0</v>
      </c>
      <c r="N83" s="51">
        <v>0</v>
      </c>
      <c r="O83" s="20">
        <f>O22+C83+E83+G83+I83+K83+M83</f>
        <v>0</v>
      </c>
    </row>
    <row r="84" spans="1:15" ht="12.75">
      <c r="A84" s="49" t="s">
        <v>20</v>
      </c>
      <c r="B84" s="30">
        <v>0</v>
      </c>
      <c r="C84" s="18">
        <v>0</v>
      </c>
      <c r="D84" s="31">
        <v>0</v>
      </c>
      <c r="E84" s="19">
        <v>0</v>
      </c>
      <c r="F84" s="31">
        <v>0</v>
      </c>
      <c r="G84" s="18">
        <v>0</v>
      </c>
      <c r="H84" s="31">
        <v>0</v>
      </c>
      <c r="I84" s="19">
        <v>0</v>
      </c>
      <c r="J84" s="30">
        <v>0</v>
      </c>
      <c r="K84" s="18">
        <v>0</v>
      </c>
      <c r="L84" s="31">
        <v>0</v>
      </c>
      <c r="M84" s="19">
        <v>0</v>
      </c>
      <c r="N84" s="51">
        <f aca="true" t="shared" si="8" ref="N84:O86">N25+B84+D84+F84+H84+J84+L84</f>
        <v>0</v>
      </c>
      <c r="O84" s="20">
        <f t="shared" si="8"/>
        <v>0</v>
      </c>
    </row>
    <row r="85" spans="1:15" ht="12.75">
      <c r="A85" s="49" t="s">
        <v>144</v>
      </c>
      <c r="B85" s="30">
        <v>0</v>
      </c>
      <c r="C85" s="18">
        <v>0</v>
      </c>
      <c r="D85" s="31">
        <v>0</v>
      </c>
      <c r="E85" s="19">
        <v>0</v>
      </c>
      <c r="F85" s="31">
        <v>0</v>
      </c>
      <c r="G85" s="18">
        <v>0</v>
      </c>
      <c r="H85" s="31">
        <v>0</v>
      </c>
      <c r="I85" s="19">
        <v>0</v>
      </c>
      <c r="J85" s="30">
        <v>0</v>
      </c>
      <c r="K85" s="18">
        <v>0</v>
      </c>
      <c r="L85" s="31">
        <v>0</v>
      </c>
      <c r="M85" s="19">
        <v>0</v>
      </c>
      <c r="N85" s="51">
        <f t="shared" si="8"/>
        <v>0</v>
      </c>
      <c r="O85" s="20">
        <f>O26+C85+E85+G85+I85+K85+M85</f>
        <v>0</v>
      </c>
    </row>
    <row r="86" spans="1:15" ht="12.75">
      <c r="A86" s="268" t="s">
        <v>145</v>
      </c>
      <c r="B86" s="30">
        <v>0</v>
      </c>
      <c r="C86" s="18">
        <v>0</v>
      </c>
      <c r="D86" s="31">
        <v>0</v>
      </c>
      <c r="E86" s="19">
        <v>0</v>
      </c>
      <c r="F86" s="31">
        <v>0</v>
      </c>
      <c r="G86" s="18">
        <v>0</v>
      </c>
      <c r="H86" s="31">
        <v>0</v>
      </c>
      <c r="I86" s="19">
        <v>0</v>
      </c>
      <c r="J86" s="30">
        <v>0</v>
      </c>
      <c r="K86" s="18">
        <v>0</v>
      </c>
      <c r="L86" s="31">
        <v>0</v>
      </c>
      <c r="M86" s="19">
        <v>0</v>
      </c>
      <c r="N86" s="51">
        <f t="shared" si="8"/>
        <v>0</v>
      </c>
      <c r="O86" s="20">
        <f t="shared" si="8"/>
        <v>0</v>
      </c>
    </row>
    <row r="87" spans="1:15" ht="12.75">
      <c r="A87" s="49" t="s">
        <v>43</v>
      </c>
      <c r="B87" s="30">
        <v>0</v>
      </c>
      <c r="C87" s="18">
        <v>0</v>
      </c>
      <c r="D87" s="31">
        <v>0</v>
      </c>
      <c r="E87" s="19">
        <v>0</v>
      </c>
      <c r="F87" s="31">
        <v>0</v>
      </c>
      <c r="G87" s="18">
        <v>0</v>
      </c>
      <c r="H87" s="31">
        <v>0</v>
      </c>
      <c r="I87" s="19">
        <v>0</v>
      </c>
      <c r="J87" s="45">
        <v>0</v>
      </c>
      <c r="K87" s="18">
        <v>0</v>
      </c>
      <c r="L87" s="31">
        <v>0</v>
      </c>
      <c r="M87" s="19">
        <v>0</v>
      </c>
      <c r="N87" s="51">
        <f>B87+D87+F87+H87+J87+L87</f>
        <v>0</v>
      </c>
      <c r="O87" s="20">
        <f>C87+E87+G87+I87+K87+M87</f>
        <v>0</v>
      </c>
    </row>
    <row r="88" spans="1:15" ht="12.75" customHeight="1">
      <c r="A88" s="49" t="s">
        <v>153</v>
      </c>
      <c r="B88" s="30">
        <v>0</v>
      </c>
      <c r="C88" s="18">
        <v>0</v>
      </c>
      <c r="D88" s="31">
        <v>0</v>
      </c>
      <c r="E88" s="19">
        <v>0</v>
      </c>
      <c r="F88" s="31">
        <v>0</v>
      </c>
      <c r="G88" s="18">
        <v>0</v>
      </c>
      <c r="H88" s="31">
        <v>0</v>
      </c>
      <c r="I88" s="19">
        <v>0</v>
      </c>
      <c r="J88" s="45">
        <v>0</v>
      </c>
      <c r="K88" s="18">
        <v>0</v>
      </c>
      <c r="L88" s="31">
        <v>0</v>
      </c>
      <c r="M88" s="19">
        <v>0</v>
      </c>
      <c r="N88" s="51">
        <f>B88+D88+F88+H88+J88+L88</f>
        <v>0</v>
      </c>
      <c r="O88" s="20">
        <f>C88+E88+G88+I88+K88+M88</f>
        <v>0</v>
      </c>
    </row>
    <row r="89" spans="1:15" ht="12.75" customHeight="1">
      <c r="A89" s="268" t="s">
        <v>207</v>
      </c>
      <c r="B89" s="30">
        <v>0</v>
      </c>
      <c r="C89" s="18">
        <v>0</v>
      </c>
      <c r="D89" s="31">
        <v>0</v>
      </c>
      <c r="E89" s="19">
        <v>0</v>
      </c>
      <c r="F89" s="31">
        <v>0</v>
      </c>
      <c r="G89" s="18">
        <v>0</v>
      </c>
      <c r="H89" s="31">
        <v>0</v>
      </c>
      <c r="I89" s="19">
        <v>0</v>
      </c>
      <c r="J89" s="45">
        <v>0</v>
      </c>
      <c r="K89" s="18">
        <v>0</v>
      </c>
      <c r="L89" s="31">
        <v>0</v>
      </c>
      <c r="M89" s="19">
        <v>0</v>
      </c>
      <c r="N89" s="51">
        <v>0</v>
      </c>
      <c r="O89" s="20">
        <f>C89+E89+G89+I89+K89+M89</f>
        <v>0</v>
      </c>
    </row>
    <row r="90" spans="1:18" ht="12.75">
      <c r="A90" s="12" t="s">
        <v>10</v>
      </c>
      <c r="B90" s="69">
        <f aca="true" t="shared" si="9" ref="B90:N90">SUM(B72:B89)</f>
        <v>557</v>
      </c>
      <c r="C90" s="70">
        <f t="shared" si="9"/>
        <v>35137.87</v>
      </c>
      <c r="D90" s="69">
        <f t="shared" si="9"/>
        <v>1125</v>
      </c>
      <c r="E90" s="70">
        <f>SUM(E72:E89)</f>
        <v>61667.109000000004</v>
      </c>
      <c r="F90" s="72">
        <f>SUM(F72:F89)</f>
        <v>346</v>
      </c>
      <c r="G90" s="73">
        <f>SUM(G72:G89)</f>
        <v>32407.419</v>
      </c>
      <c r="H90" s="69">
        <f t="shared" si="9"/>
        <v>645</v>
      </c>
      <c r="I90" s="73">
        <f>SUM(I72:I89)</f>
        <v>66005.197</v>
      </c>
      <c r="J90" s="69">
        <f t="shared" si="9"/>
        <v>601</v>
      </c>
      <c r="K90" s="73">
        <f>SUM(K72:K89)</f>
        <v>66724.542</v>
      </c>
      <c r="L90" s="69">
        <f>SUM(L72:L89)</f>
        <v>708</v>
      </c>
      <c r="M90" s="74">
        <f>SUM(M72:M89)</f>
        <v>52968.502</v>
      </c>
      <c r="N90" s="69">
        <f t="shared" si="9"/>
        <v>8563.25</v>
      </c>
      <c r="O90" s="73">
        <f>SUM(O72:O89)</f>
        <v>617661.4650000001</v>
      </c>
      <c r="Q90" s="333" t="s">
        <v>12</v>
      </c>
      <c r="R90" s="333" t="s">
        <v>12</v>
      </c>
    </row>
    <row r="91" spans="1:15" ht="12.75">
      <c r="A91" s="24"/>
      <c r="B91" s="25"/>
      <c r="C91" s="26"/>
      <c r="D91" s="25"/>
      <c r="E91" s="26"/>
      <c r="F91" s="25"/>
      <c r="G91" s="27"/>
      <c r="H91" s="25"/>
      <c r="I91" s="27"/>
      <c r="J91" s="25"/>
      <c r="K91" s="27"/>
      <c r="L91" s="25"/>
      <c r="M91" s="27"/>
      <c r="N91" s="28"/>
      <c r="O91" s="28"/>
    </row>
    <row r="92" spans="1:19" ht="12.75">
      <c r="A92" s="4" t="s">
        <v>0</v>
      </c>
      <c r="B92" s="592" t="s">
        <v>14</v>
      </c>
      <c r="C92" s="593"/>
      <c r="D92" s="592" t="s">
        <v>15</v>
      </c>
      <c r="E92" s="593"/>
      <c r="F92" s="592" t="s">
        <v>32</v>
      </c>
      <c r="G92" s="593"/>
      <c r="H92" s="592" t="s">
        <v>33</v>
      </c>
      <c r="I92" s="593"/>
      <c r="J92" s="592" t="s">
        <v>34</v>
      </c>
      <c r="K92" s="593"/>
      <c r="L92" s="592" t="s">
        <v>35</v>
      </c>
      <c r="M92" s="593"/>
      <c r="N92" s="10" t="s">
        <v>19</v>
      </c>
      <c r="O92" s="11"/>
      <c r="S92" s="218"/>
    </row>
    <row r="93" spans="1:19" ht="12.75">
      <c r="A93" s="12" t="s">
        <v>11</v>
      </c>
      <c r="B93" s="13" t="s">
        <v>8</v>
      </c>
      <c r="C93" s="29" t="s">
        <v>9</v>
      </c>
      <c r="D93" s="13" t="s">
        <v>8</v>
      </c>
      <c r="E93" s="29" t="s">
        <v>9</v>
      </c>
      <c r="F93" s="13" t="s">
        <v>8</v>
      </c>
      <c r="G93" s="14" t="s">
        <v>9</v>
      </c>
      <c r="H93" s="4" t="s">
        <v>8</v>
      </c>
      <c r="I93" s="14" t="s">
        <v>9</v>
      </c>
      <c r="J93" s="4" t="s">
        <v>8</v>
      </c>
      <c r="K93" s="14" t="s">
        <v>9</v>
      </c>
      <c r="L93" s="4" t="s">
        <v>8</v>
      </c>
      <c r="M93" s="14" t="s">
        <v>9</v>
      </c>
      <c r="N93" s="15" t="s">
        <v>8</v>
      </c>
      <c r="O93" s="16" t="s">
        <v>9</v>
      </c>
      <c r="P93" s="42"/>
      <c r="S93" s="218"/>
    </row>
    <row r="94" spans="1:16" ht="12.75">
      <c r="A94" s="259" t="s">
        <v>20</v>
      </c>
      <c r="B94" s="30">
        <v>0</v>
      </c>
      <c r="C94" s="62">
        <v>0</v>
      </c>
      <c r="D94" s="39">
        <f>-D932</f>
        <v>0</v>
      </c>
      <c r="E94" s="63">
        <v>0</v>
      </c>
      <c r="F94" s="31">
        <v>0</v>
      </c>
      <c r="G94" s="32">
        <v>0</v>
      </c>
      <c r="H94" s="47">
        <v>0</v>
      </c>
      <c r="I94" s="32">
        <v>0</v>
      </c>
      <c r="J94" s="47">
        <v>0</v>
      </c>
      <c r="K94" s="32">
        <v>0</v>
      </c>
      <c r="L94" s="47">
        <v>0</v>
      </c>
      <c r="M94" s="32">
        <v>0</v>
      </c>
      <c r="N94" s="50">
        <f aca="true" t="shared" si="10" ref="N94:O98">N32+B94+D94+F94+H94+J94+L94</f>
        <v>0</v>
      </c>
      <c r="O94" s="33">
        <f t="shared" si="10"/>
        <v>0</v>
      </c>
      <c r="P94" s="61"/>
    </row>
    <row r="95" spans="1:15" ht="12.75">
      <c r="A95" s="259" t="s">
        <v>155</v>
      </c>
      <c r="B95" s="30">
        <f>6154+55+2+205+48</f>
        <v>6464</v>
      </c>
      <c r="C95" s="62">
        <f>1.886+0.08+7.026+9.461+260.772</f>
        <v>279.22499999999997</v>
      </c>
      <c r="D95" s="30">
        <f>18354+85</f>
        <v>18439</v>
      </c>
      <c r="E95" s="63">
        <f>268.257+2.842</f>
        <v>271.099</v>
      </c>
      <c r="F95" s="31">
        <f>7644+65</f>
        <v>7709</v>
      </c>
      <c r="G95" s="32">
        <f>218.846+0.004+0.878+0.069</f>
        <v>219.79699999999997</v>
      </c>
      <c r="H95" s="47">
        <v>9875</v>
      </c>
      <c r="I95" s="32">
        <v>313.248</v>
      </c>
      <c r="J95" s="47">
        <f>12138+346</f>
        <v>12484</v>
      </c>
      <c r="K95" s="41">
        <f>237.322+15.158</f>
        <v>252.48</v>
      </c>
      <c r="L95" s="31">
        <f>444+13761</f>
        <v>14205</v>
      </c>
      <c r="M95" s="32">
        <f>7.854+309.982</f>
        <v>317.836</v>
      </c>
      <c r="N95" s="50">
        <f t="shared" si="10"/>
        <v>121132</v>
      </c>
      <c r="O95" s="33">
        <f>O33+C95+E95+G95+I95+K95+M95</f>
        <v>3366.0210000000006</v>
      </c>
    </row>
    <row r="96" spans="1:16" ht="12.75">
      <c r="A96" s="22" t="s">
        <v>27</v>
      </c>
      <c r="B96" s="30">
        <v>0</v>
      </c>
      <c r="C96" s="62">
        <v>0</v>
      </c>
      <c r="D96" s="30">
        <v>0</v>
      </c>
      <c r="E96" s="63">
        <v>0</v>
      </c>
      <c r="F96" s="31">
        <v>0</v>
      </c>
      <c r="G96" s="32">
        <v>0</v>
      </c>
      <c r="H96" s="31">
        <v>0</v>
      </c>
      <c r="I96" s="32">
        <v>0</v>
      </c>
      <c r="J96" s="47">
        <v>0</v>
      </c>
      <c r="K96" s="32">
        <v>0</v>
      </c>
      <c r="L96" s="31">
        <f>936+2217</f>
        <v>3153</v>
      </c>
      <c r="M96" s="32">
        <f>495.88+1232.59</f>
        <v>1728.4699999999998</v>
      </c>
      <c r="N96" s="50">
        <f t="shared" si="10"/>
        <v>7004</v>
      </c>
      <c r="O96" s="33">
        <f>O34+C96+E96+G96+I96+K96+M96</f>
        <v>3307.9399999999996</v>
      </c>
      <c r="P96" s="218"/>
    </row>
    <row r="97" spans="1:16" ht="12.75">
      <c r="A97" s="259" t="s">
        <v>232</v>
      </c>
      <c r="B97" s="30">
        <v>0</v>
      </c>
      <c r="C97" s="62">
        <v>0</v>
      </c>
      <c r="D97" s="30">
        <v>0</v>
      </c>
      <c r="E97" s="63">
        <v>0</v>
      </c>
      <c r="F97" s="31">
        <v>0</v>
      </c>
      <c r="G97" s="32">
        <v>0</v>
      </c>
      <c r="H97" s="31">
        <v>0</v>
      </c>
      <c r="I97" s="32">
        <v>0</v>
      </c>
      <c r="J97" s="47">
        <v>0</v>
      </c>
      <c r="K97" s="32">
        <v>0</v>
      </c>
      <c r="L97" s="31">
        <v>0</v>
      </c>
      <c r="M97" s="32">
        <v>0</v>
      </c>
      <c r="N97" s="50">
        <f t="shared" si="10"/>
        <v>0</v>
      </c>
      <c r="O97" s="33">
        <f t="shared" si="10"/>
        <v>0</v>
      </c>
      <c r="P97" s="218"/>
    </row>
    <row r="98" spans="1:15" ht="12.75">
      <c r="A98" s="313" t="s">
        <v>231</v>
      </c>
      <c r="B98" s="30">
        <v>0</v>
      </c>
      <c r="C98" s="64">
        <v>0</v>
      </c>
      <c r="D98" s="30">
        <v>0</v>
      </c>
      <c r="E98" s="63">
        <v>0</v>
      </c>
      <c r="F98" s="31">
        <v>0</v>
      </c>
      <c r="G98" s="32">
        <v>0</v>
      </c>
      <c r="H98" s="35">
        <v>0</v>
      </c>
      <c r="I98" s="32">
        <v>0</v>
      </c>
      <c r="J98" s="47">
        <v>0</v>
      </c>
      <c r="K98" s="32">
        <v>0</v>
      </c>
      <c r="L98" s="31">
        <v>0</v>
      </c>
      <c r="M98" s="32">
        <v>0</v>
      </c>
      <c r="N98" s="50">
        <f t="shared" si="10"/>
        <v>0</v>
      </c>
      <c r="O98" s="33">
        <f t="shared" si="10"/>
        <v>0</v>
      </c>
    </row>
    <row r="99" spans="1:15" ht="12.75">
      <c r="A99" s="366" t="s">
        <v>246</v>
      </c>
      <c r="B99" s="30">
        <v>0</v>
      </c>
      <c r="C99" s="64">
        <v>0</v>
      </c>
      <c r="D99" s="30">
        <v>0</v>
      </c>
      <c r="E99" s="63">
        <v>6412.08</v>
      </c>
      <c r="F99" s="31">
        <v>0</v>
      </c>
      <c r="G99" s="32">
        <v>9565.65</v>
      </c>
      <c r="H99" s="213">
        <v>0</v>
      </c>
      <c r="I99" s="32">
        <v>0</v>
      </c>
      <c r="J99" s="47">
        <v>0</v>
      </c>
      <c r="K99" s="32">
        <v>0</v>
      </c>
      <c r="L99" s="31">
        <v>0</v>
      </c>
      <c r="M99" s="32">
        <v>10031.79</v>
      </c>
      <c r="N99" s="50">
        <v>0</v>
      </c>
      <c r="O99" s="33">
        <f>O37+C99+E99+G99+I99+K99+M99</f>
        <v>46366.97</v>
      </c>
    </row>
    <row r="100" spans="1:15" ht="12.75">
      <c r="A100" s="259" t="s">
        <v>221</v>
      </c>
      <c r="B100" s="30">
        <v>0</v>
      </c>
      <c r="C100" s="62">
        <v>0</v>
      </c>
      <c r="D100" s="30">
        <v>0</v>
      </c>
      <c r="E100" s="63">
        <v>0</v>
      </c>
      <c r="F100" s="31">
        <v>0</v>
      </c>
      <c r="G100" s="32">
        <v>0</v>
      </c>
      <c r="H100" s="31">
        <v>0</v>
      </c>
      <c r="I100" s="32">
        <v>0</v>
      </c>
      <c r="J100" s="47">
        <v>0</v>
      </c>
      <c r="K100" s="32">
        <v>0</v>
      </c>
      <c r="L100" s="31">
        <v>0</v>
      </c>
      <c r="M100" s="32">
        <v>0</v>
      </c>
      <c r="N100" s="50">
        <f>N38+B100+D100+F100+H100+J100+L100</f>
        <v>0</v>
      </c>
      <c r="O100" s="33">
        <v>0</v>
      </c>
    </row>
    <row r="101" spans="1:15" ht="12.75">
      <c r="A101" s="259" t="s">
        <v>270</v>
      </c>
      <c r="B101" s="30">
        <v>0</v>
      </c>
      <c r="C101" s="62">
        <v>0</v>
      </c>
      <c r="D101" s="30">
        <v>0</v>
      </c>
      <c r="E101" s="63">
        <v>0</v>
      </c>
      <c r="F101" s="31">
        <v>0</v>
      </c>
      <c r="G101" s="32">
        <v>0</v>
      </c>
      <c r="H101" s="31">
        <v>0</v>
      </c>
      <c r="I101" s="32">
        <v>0</v>
      </c>
      <c r="J101" s="43">
        <v>0</v>
      </c>
      <c r="K101" s="32">
        <v>0</v>
      </c>
      <c r="L101" s="31">
        <v>0</v>
      </c>
      <c r="M101" s="32">
        <v>0</v>
      </c>
      <c r="N101" s="50">
        <f>N39+B101+D101+F101+H101+J101+L101</f>
        <v>0</v>
      </c>
      <c r="O101" s="33">
        <f>O39+C101+E101+G101+I101+K101+M101</f>
        <v>0</v>
      </c>
    </row>
    <row r="102" spans="1:15" ht="12.75">
      <c r="A102" s="22" t="s">
        <v>167</v>
      </c>
      <c r="B102" s="30">
        <v>0</v>
      </c>
      <c r="C102" s="62">
        <v>0</v>
      </c>
      <c r="D102" s="30">
        <v>0</v>
      </c>
      <c r="E102" s="63">
        <v>0</v>
      </c>
      <c r="F102" s="31">
        <v>0</v>
      </c>
      <c r="G102" s="32">
        <v>0</v>
      </c>
      <c r="H102" s="44">
        <v>0</v>
      </c>
      <c r="I102" s="32">
        <v>0</v>
      </c>
      <c r="J102" s="43">
        <v>0</v>
      </c>
      <c r="K102" s="32">
        <v>0</v>
      </c>
      <c r="L102" s="44">
        <v>0</v>
      </c>
      <c r="M102" s="32">
        <v>0</v>
      </c>
      <c r="N102" s="50">
        <f>N40+B102+D102+F102+H102+J102+L102</f>
        <v>0</v>
      </c>
      <c r="O102" s="33">
        <f>O40+C102+E102+G102+I102+K102+M102</f>
        <v>0</v>
      </c>
    </row>
    <row r="103" spans="1:15" ht="12.75">
      <c r="A103" s="22" t="s">
        <v>146</v>
      </c>
      <c r="B103" s="30">
        <v>0</v>
      </c>
      <c r="C103" s="62">
        <v>0</v>
      </c>
      <c r="D103" s="30">
        <v>0</v>
      </c>
      <c r="E103" s="63">
        <v>0</v>
      </c>
      <c r="F103" s="31">
        <v>0</v>
      </c>
      <c r="G103" s="32">
        <v>0</v>
      </c>
      <c r="H103" s="31">
        <v>0</v>
      </c>
      <c r="I103" s="32">
        <v>0</v>
      </c>
      <c r="J103" s="47">
        <v>0</v>
      </c>
      <c r="K103" s="32">
        <v>0</v>
      </c>
      <c r="L103" s="31">
        <v>0</v>
      </c>
      <c r="M103" s="32">
        <v>0</v>
      </c>
      <c r="N103" s="50">
        <v>0</v>
      </c>
      <c r="O103" s="33">
        <v>0</v>
      </c>
    </row>
    <row r="104" spans="1:19" ht="12" customHeight="1">
      <c r="A104" s="268" t="s">
        <v>261</v>
      </c>
      <c r="B104" s="30">
        <v>0</v>
      </c>
      <c r="C104" s="62">
        <v>0</v>
      </c>
      <c r="D104" s="30">
        <v>0</v>
      </c>
      <c r="E104" s="63">
        <v>0</v>
      </c>
      <c r="F104" s="31">
        <v>0</v>
      </c>
      <c r="G104" s="32">
        <v>0</v>
      </c>
      <c r="H104" s="31">
        <v>0</v>
      </c>
      <c r="I104" s="32">
        <v>0</v>
      </c>
      <c r="J104" s="47">
        <v>0</v>
      </c>
      <c r="K104" s="32">
        <v>0</v>
      </c>
      <c r="L104" s="31">
        <v>0</v>
      </c>
      <c r="M104" s="32">
        <v>0</v>
      </c>
      <c r="N104" s="50">
        <f>N41+B104+D104+F104+H104+J104+L104</f>
        <v>701697</v>
      </c>
      <c r="O104" s="33">
        <f>O41+C104+E104+G104+I104+K104+M104</f>
        <v>34677.164000000004</v>
      </c>
      <c r="S104" s="327"/>
    </row>
    <row r="105" spans="1:17" ht="12.75">
      <c r="A105" s="12" t="s">
        <v>10</v>
      </c>
      <c r="B105" s="69">
        <f aca="true" t="shared" si="11" ref="B105:L105">SUM(B94:B104)</f>
        <v>6464</v>
      </c>
      <c r="C105" s="70">
        <f t="shared" si="11"/>
        <v>279.22499999999997</v>
      </c>
      <c r="D105" s="69">
        <f t="shared" si="11"/>
        <v>18439</v>
      </c>
      <c r="E105" s="71">
        <f>SUM(E94:E104)</f>
        <v>6683.179</v>
      </c>
      <c r="F105" s="69">
        <f t="shared" si="11"/>
        <v>7709</v>
      </c>
      <c r="G105" s="73">
        <f t="shared" si="11"/>
        <v>9785.447</v>
      </c>
      <c r="H105" s="69">
        <f t="shared" si="11"/>
        <v>9875</v>
      </c>
      <c r="I105" s="73">
        <f>SUM(I94:I104)</f>
        <v>313.248</v>
      </c>
      <c r="J105" s="69">
        <f t="shared" si="11"/>
        <v>12484</v>
      </c>
      <c r="K105" s="73">
        <f t="shared" si="11"/>
        <v>252.48</v>
      </c>
      <c r="L105" s="69">
        <f t="shared" si="11"/>
        <v>17358</v>
      </c>
      <c r="M105" s="73">
        <f>SUM(M94:M104)</f>
        <v>12078.096000000001</v>
      </c>
      <c r="N105" s="69">
        <f>SUM(N94:N104)</f>
        <v>829833</v>
      </c>
      <c r="O105" s="73">
        <f>SUM(O94:O104)</f>
        <v>87718.095</v>
      </c>
      <c r="Q105" s="218"/>
    </row>
    <row r="106" spans="1:19" ht="12.75">
      <c r="A106" s="38"/>
      <c r="B106" s="17" t="s">
        <v>12</v>
      </c>
      <c r="C106" s="19"/>
      <c r="E106" s="19"/>
      <c r="F106" s="52"/>
      <c r="G106" s="32"/>
      <c r="H106" s="44"/>
      <c r="I106" s="32"/>
      <c r="J106" s="39"/>
      <c r="K106" s="32"/>
      <c r="L106" s="39"/>
      <c r="M106" s="32"/>
      <c r="N106" s="36"/>
      <c r="O106" s="33"/>
      <c r="S106" s="218"/>
    </row>
    <row r="107" spans="1:15" ht="12.75">
      <c r="A107" s="37" t="s">
        <v>13</v>
      </c>
      <c r="B107" s="67">
        <f>B105+B90</f>
        <v>7021</v>
      </c>
      <c r="C107" s="68">
        <f>C105+C90</f>
        <v>35417.095</v>
      </c>
      <c r="D107" s="67">
        <f>D105+D90</f>
        <v>19564</v>
      </c>
      <c r="E107" s="68">
        <f>SUM(+E90+E105)</f>
        <v>68350.288</v>
      </c>
      <c r="F107" s="67">
        <f aca="true" t="shared" si="12" ref="F107:L107">SUM(+F90+F105)</f>
        <v>8055</v>
      </c>
      <c r="G107" s="68">
        <f t="shared" si="12"/>
        <v>42192.866</v>
      </c>
      <c r="H107" s="67">
        <f t="shared" si="12"/>
        <v>10520</v>
      </c>
      <c r="I107" s="68">
        <f>SUM(+I90+I105)</f>
        <v>66318.445</v>
      </c>
      <c r="J107" s="67">
        <f t="shared" si="12"/>
        <v>13085</v>
      </c>
      <c r="K107" s="68">
        <f t="shared" si="12"/>
        <v>66977.022</v>
      </c>
      <c r="L107" s="67">
        <f t="shared" si="12"/>
        <v>18066</v>
      </c>
      <c r="M107" s="68">
        <f>SUM(+M90+M105)</f>
        <v>65046.598</v>
      </c>
      <c r="N107" s="67">
        <f>SUM(+N90+N105)</f>
        <v>838396.25</v>
      </c>
      <c r="O107" s="354">
        <f>SUM(+O90+O105)</f>
        <v>705379.56</v>
      </c>
    </row>
    <row r="108" spans="3:15" ht="12.75">
      <c r="C108" s="2"/>
      <c r="F108" s="2" t="s">
        <v>12</v>
      </c>
      <c r="I108" s="66"/>
      <c r="N108" s="57"/>
      <c r="O108" s="53"/>
    </row>
    <row r="109" spans="2:15" ht="12.75">
      <c r="B109" s="56"/>
      <c r="D109" s="56"/>
      <c r="F109" s="58" t="s">
        <v>12</v>
      </c>
      <c r="J109" s="59"/>
      <c r="N109" s="55" t="s">
        <v>12</v>
      </c>
      <c r="O109" s="60"/>
    </row>
    <row r="110" ht="12.75">
      <c r="O110" s="42"/>
    </row>
    <row r="111" ht="12.75">
      <c r="O111" s="42"/>
    </row>
    <row r="112" ht="12.75">
      <c r="O112" s="42"/>
    </row>
  </sheetData>
  <sheetProtection/>
  <mergeCells count="14">
    <mergeCell ref="A8:O8"/>
    <mergeCell ref="A68:O68"/>
    <mergeCell ref="B92:C92"/>
    <mergeCell ref="D92:E92"/>
    <mergeCell ref="F92:G92"/>
    <mergeCell ref="B70:C70"/>
    <mergeCell ref="D70:E70"/>
    <mergeCell ref="F70:G70"/>
    <mergeCell ref="H70:I70"/>
    <mergeCell ref="J70:K70"/>
    <mergeCell ref="L70:M70"/>
    <mergeCell ref="H92:I92"/>
    <mergeCell ref="J92:K92"/>
    <mergeCell ref="L92:M92"/>
  </mergeCells>
  <printOptions horizontalCentered="1" verticalCentered="1"/>
  <pageMargins left="0" right="0" top="0" bottom="0" header="0" footer="0.3937007874015748"/>
  <pageSetup horizontalDpi="600" verticalDpi="600" orientation="landscape" paperSize="9" scale="70" r:id="rId2"/>
  <rowBreaks count="1" manualBreakCount="1">
    <brk id="56" max="14" man="1"/>
  </rowBreaks>
  <ignoredErrors>
    <ignoredError sqref="O83 N35:O3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35"/>
  <sheetViews>
    <sheetView showGridLines="0" zoomScalePageLayoutView="0" workbookViewId="0" topLeftCell="A13">
      <selection activeCell="P41" sqref="P41"/>
    </sheetView>
  </sheetViews>
  <sheetFormatPr defaultColWidth="9.140625" defaultRowHeight="12.75"/>
  <cols>
    <col min="1" max="1" width="12.8515625" style="98" bestFit="1" customWidth="1"/>
    <col min="2" max="2" width="14.00390625" style="98" customWidth="1"/>
    <col min="3" max="3" width="9.140625" style="98" hidden="1" customWidth="1"/>
    <col min="4" max="4" width="12.421875" style="98" customWidth="1"/>
    <col min="5" max="5" width="14.00390625" style="98" customWidth="1"/>
    <col min="6" max="6" width="21.140625" style="98" bestFit="1" customWidth="1"/>
    <col min="7" max="8" width="20.140625" style="98" bestFit="1" customWidth="1"/>
    <col min="9" max="10" width="20.57421875" style="98" bestFit="1" customWidth="1"/>
    <col min="11" max="11" width="21.140625" style="98" bestFit="1" customWidth="1"/>
    <col min="12" max="12" width="20.57421875" style="98" bestFit="1" customWidth="1"/>
    <col min="13" max="13" width="13.421875" style="98" customWidth="1"/>
    <col min="14" max="14" width="20.57421875" style="98" bestFit="1" customWidth="1"/>
    <col min="15" max="15" width="14.28125" style="98" bestFit="1" customWidth="1"/>
    <col min="16" max="16" width="12.28125" style="98" bestFit="1" customWidth="1"/>
    <col min="17" max="16384" width="9.140625" style="98" customWidth="1"/>
  </cols>
  <sheetData>
    <row r="4" spans="11:13" ht="15.75">
      <c r="K4" s="600" t="s">
        <v>88</v>
      </c>
      <c r="L4" s="600"/>
      <c r="M4" s="600"/>
    </row>
    <row r="5" spans="11:13" ht="15">
      <c r="K5" s="598" t="s">
        <v>87</v>
      </c>
      <c r="L5" s="598"/>
      <c r="M5" s="598"/>
    </row>
    <row r="6" spans="11:13" ht="15">
      <c r="K6" s="599" t="s">
        <v>86</v>
      </c>
      <c r="L6" s="599"/>
      <c r="M6" s="599"/>
    </row>
    <row r="9" spans="1:15" ht="15.75">
      <c r="A9" s="604" t="s">
        <v>91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</row>
    <row r="10" ht="15.75">
      <c r="A10" s="131"/>
    </row>
    <row r="11" ht="15.75">
      <c r="A11" s="131"/>
    </row>
    <row r="12" spans="1:16" ht="15.75">
      <c r="A12" s="605" t="s">
        <v>283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7"/>
    </row>
    <row r="13" spans="1:15" ht="15.75">
      <c r="A13" s="602" t="s">
        <v>90</v>
      </c>
      <c r="B13" s="603"/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</row>
    <row r="14" spans="1:16" ht="16.5" thickBot="1">
      <c r="A14" s="130" t="s">
        <v>89</v>
      </c>
      <c r="B14" s="129">
        <v>2008</v>
      </c>
      <c r="D14" s="129">
        <v>2009</v>
      </c>
      <c r="E14" s="129">
        <v>2010</v>
      </c>
      <c r="F14" s="129">
        <v>2011</v>
      </c>
      <c r="G14" s="129">
        <v>2012</v>
      </c>
      <c r="H14" s="129">
        <v>2013</v>
      </c>
      <c r="I14" s="129">
        <v>2014</v>
      </c>
      <c r="J14" s="129">
        <v>2015</v>
      </c>
      <c r="K14" s="129">
        <v>2016</v>
      </c>
      <c r="L14" s="129">
        <v>2017</v>
      </c>
      <c r="M14" s="131">
        <v>2018</v>
      </c>
      <c r="N14" s="131">
        <v>2019</v>
      </c>
      <c r="O14" s="355">
        <v>2020</v>
      </c>
      <c r="P14" s="355">
        <v>2021</v>
      </c>
    </row>
    <row r="15" spans="1:16" ht="15.75">
      <c r="A15" s="123" t="s">
        <v>72</v>
      </c>
      <c r="B15" s="122">
        <v>36347.132</v>
      </c>
      <c r="D15" s="370">
        <v>27856.736</v>
      </c>
      <c r="E15" s="121">
        <v>36448.557</v>
      </c>
      <c r="F15" s="121">
        <v>43277.523</v>
      </c>
      <c r="G15" s="120">
        <v>90690.877</v>
      </c>
      <c r="H15" s="119">
        <v>58280.297</v>
      </c>
      <c r="I15" s="119">
        <v>62561.735</v>
      </c>
      <c r="J15" s="119">
        <v>74086.75</v>
      </c>
      <c r="K15" s="124">
        <v>28095.182</v>
      </c>
      <c r="L15" s="119">
        <v>68479.69</v>
      </c>
      <c r="M15" s="121">
        <v>41453.037</v>
      </c>
      <c r="N15" s="121">
        <v>76903.961</v>
      </c>
      <c r="O15" s="356">
        <v>54749.441</v>
      </c>
      <c r="P15" s="356">
        <f>'Mov. Cargas '!C44</f>
        <v>48347.11499999999</v>
      </c>
    </row>
    <row r="16" spans="1:16" ht="15.75">
      <c r="A16" s="123" t="s">
        <v>71</v>
      </c>
      <c r="B16" s="122">
        <v>54623.423</v>
      </c>
      <c r="D16" s="124">
        <v>73054.125</v>
      </c>
      <c r="E16" s="124">
        <v>27417.667</v>
      </c>
      <c r="F16" s="124">
        <v>51227.442</v>
      </c>
      <c r="G16" s="124">
        <v>70473.511</v>
      </c>
      <c r="H16" s="124">
        <v>62931.876</v>
      </c>
      <c r="I16" s="124">
        <v>37149.69</v>
      </c>
      <c r="J16" s="124">
        <v>59787.878</v>
      </c>
      <c r="K16" s="119">
        <v>29027.701</v>
      </c>
      <c r="L16" s="119">
        <v>33276.983</v>
      </c>
      <c r="M16" s="370">
        <v>13329.457</v>
      </c>
      <c r="N16" s="124">
        <v>45201.826</v>
      </c>
      <c r="O16" s="368">
        <v>41704.164</v>
      </c>
      <c r="P16" s="441">
        <f>'Mov. Cargas '!E44</f>
        <v>89104.269</v>
      </c>
    </row>
    <row r="17" spans="1:16" ht="15.75">
      <c r="A17" s="123" t="s">
        <v>70</v>
      </c>
      <c r="B17" s="128">
        <v>54246.048</v>
      </c>
      <c r="D17" s="121">
        <v>45696.399</v>
      </c>
      <c r="E17" s="121">
        <v>54061.871</v>
      </c>
      <c r="F17" s="119">
        <v>59523.578</v>
      </c>
      <c r="G17" s="124">
        <v>50271.04</v>
      </c>
      <c r="H17" s="119">
        <v>66184.094</v>
      </c>
      <c r="I17" s="119">
        <v>50064.524</v>
      </c>
      <c r="J17" s="119">
        <v>47052.501</v>
      </c>
      <c r="K17" s="120">
        <v>83952.283</v>
      </c>
      <c r="L17" s="124">
        <v>14830.639</v>
      </c>
      <c r="M17" s="121">
        <v>44627.942</v>
      </c>
      <c r="N17" s="121">
        <v>61059.056</v>
      </c>
      <c r="O17" s="449">
        <v>12806.071</v>
      </c>
      <c r="P17" s="431">
        <f>'Mov. Cargas '!G44</f>
        <v>38132.715</v>
      </c>
    </row>
    <row r="18" spans="1:16" ht="15.75">
      <c r="A18" s="123" t="s">
        <v>69</v>
      </c>
      <c r="B18" s="369">
        <v>26468.934</v>
      </c>
      <c r="D18" s="121">
        <v>29922.015</v>
      </c>
      <c r="E18" s="119">
        <v>44387.346</v>
      </c>
      <c r="F18" s="119">
        <v>33490.81</v>
      </c>
      <c r="G18" s="124">
        <v>92321.476</v>
      </c>
      <c r="H18" s="119">
        <v>35357.493</v>
      </c>
      <c r="I18" s="119">
        <v>73689.054</v>
      </c>
      <c r="J18" s="119">
        <v>81515.067</v>
      </c>
      <c r="K18" s="119">
        <v>45676.307</v>
      </c>
      <c r="L18" s="119">
        <v>29591.837</v>
      </c>
      <c r="M18" s="121">
        <v>66310.786</v>
      </c>
      <c r="N18" s="121">
        <v>39273.648</v>
      </c>
      <c r="O18" s="368">
        <v>66704.557</v>
      </c>
      <c r="P18" s="441">
        <f>'Mov. Cargas '!I44</f>
        <v>107850.329</v>
      </c>
    </row>
    <row r="19" spans="1:16" ht="15.75">
      <c r="A19" s="123" t="s">
        <v>68</v>
      </c>
      <c r="B19" s="127">
        <v>51538.738</v>
      </c>
      <c r="D19" s="124">
        <v>36500.714</v>
      </c>
      <c r="E19" s="124">
        <v>70231.099</v>
      </c>
      <c r="F19" s="119">
        <v>38277.684</v>
      </c>
      <c r="G19" s="119">
        <v>36761.791</v>
      </c>
      <c r="H19" s="119">
        <v>61953.518</v>
      </c>
      <c r="I19" s="119">
        <v>58200.772</v>
      </c>
      <c r="J19" s="120">
        <v>78855.088</v>
      </c>
      <c r="K19" s="119">
        <v>38953.809</v>
      </c>
      <c r="L19" s="124">
        <v>29992.442</v>
      </c>
      <c r="M19" s="286">
        <v>37138.806</v>
      </c>
      <c r="N19" s="286">
        <v>38962.26</v>
      </c>
      <c r="O19" s="368">
        <v>64262.308</v>
      </c>
      <c r="P19" s="449">
        <f>'Mov. Cargas '!K44</f>
        <v>27793.400999999998</v>
      </c>
    </row>
    <row r="20" spans="1:16" ht="15.75">
      <c r="A20" s="123" t="s">
        <v>67</v>
      </c>
      <c r="B20" s="122">
        <v>68743.584</v>
      </c>
      <c r="D20" s="370">
        <v>4407.371</v>
      </c>
      <c r="E20" s="124">
        <v>40923.975</v>
      </c>
      <c r="F20" s="124">
        <v>84459.397</v>
      </c>
      <c r="G20" s="124">
        <v>68212.306</v>
      </c>
      <c r="H20" s="124">
        <v>64944.69</v>
      </c>
      <c r="I20" s="124">
        <v>68538.144</v>
      </c>
      <c r="J20" s="124">
        <v>41758.004</v>
      </c>
      <c r="K20" s="124">
        <v>40796.29</v>
      </c>
      <c r="L20" s="119">
        <v>81768.624</v>
      </c>
      <c r="M20" s="124">
        <v>88001.006</v>
      </c>
      <c r="N20" s="120">
        <v>94898.07</v>
      </c>
      <c r="O20" s="368">
        <v>34858.177</v>
      </c>
      <c r="P20" s="368">
        <f>'Mov. Cargas '!M44</f>
        <v>49849.416999999994</v>
      </c>
    </row>
    <row r="21" spans="1:16" ht="15.75">
      <c r="A21" s="123" t="s">
        <v>66</v>
      </c>
      <c r="B21" s="122">
        <v>45264.215</v>
      </c>
      <c r="D21" s="121">
        <v>36883.042</v>
      </c>
      <c r="E21" s="121">
        <v>56477.613</v>
      </c>
      <c r="F21" s="121">
        <v>72820.668</v>
      </c>
      <c r="G21" s="124">
        <v>89820.282</v>
      </c>
      <c r="H21" s="121">
        <v>48170.965</v>
      </c>
      <c r="I21" s="121">
        <v>71474.296</v>
      </c>
      <c r="J21" s="121">
        <v>63161.781</v>
      </c>
      <c r="K21" s="121">
        <v>52133.013</v>
      </c>
      <c r="L21" s="119">
        <v>34124.228</v>
      </c>
      <c r="M21" s="370">
        <v>28271.827</v>
      </c>
      <c r="N21" s="121">
        <v>83136.588</v>
      </c>
      <c r="O21" s="441">
        <v>96417.4</v>
      </c>
      <c r="P21" s="431">
        <f>'Mov. Cargas '!C107</f>
        <v>35417.095</v>
      </c>
    </row>
    <row r="22" spans="1:16" ht="15.75">
      <c r="A22" s="123" t="s">
        <v>65</v>
      </c>
      <c r="B22" s="126">
        <v>138028.836</v>
      </c>
      <c r="D22" s="121">
        <v>54563.617</v>
      </c>
      <c r="E22" s="121">
        <v>42338.086</v>
      </c>
      <c r="F22" s="121">
        <v>36145.31</v>
      </c>
      <c r="G22" s="121">
        <v>64194.972</v>
      </c>
      <c r="H22" s="121">
        <v>72921.696</v>
      </c>
      <c r="I22" s="121">
        <v>45833.292</v>
      </c>
      <c r="J22" s="121">
        <v>69364.512</v>
      </c>
      <c r="K22" s="121">
        <v>74214.915</v>
      </c>
      <c r="L22" s="370">
        <v>33897.088</v>
      </c>
      <c r="M22" s="121">
        <v>101800.974</v>
      </c>
      <c r="N22" s="121">
        <v>52461.836</v>
      </c>
      <c r="O22" s="368">
        <v>75732.245</v>
      </c>
      <c r="P22" s="368">
        <f>'Mov. Cargas '!E107</f>
        <v>68350.288</v>
      </c>
    </row>
    <row r="23" spans="1:16" ht="15.75">
      <c r="A23" s="123" t="s">
        <v>64</v>
      </c>
      <c r="B23" s="125">
        <v>145456.56</v>
      </c>
      <c r="D23" s="370">
        <v>26220.506</v>
      </c>
      <c r="E23" s="121">
        <v>65833.088</v>
      </c>
      <c r="F23" s="121">
        <v>41051.019</v>
      </c>
      <c r="G23" s="121">
        <v>55318.578</v>
      </c>
      <c r="H23" s="121">
        <v>33955.915</v>
      </c>
      <c r="I23" s="121">
        <v>40662.488</v>
      </c>
      <c r="J23" s="121">
        <v>70017.559</v>
      </c>
      <c r="K23" s="121">
        <v>85662.676</v>
      </c>
      <c r="L23" s="119">
        <v>31756.558</v>
      </c>
      <c r="M23" s="121">
        <v>71204.89</v>
      </c>
      <c r="N23" s="121">
        <v>41121.102</v>
      </c>
      <c r="O23" s="368">
        <v>72154.01</v>
      </c>
      <c r="P23" s="368">
        <f>'Mov. Cargas '!G107</f>
        <v>42192.866</v>
      </c>
    </row>
    <row r="24" spans="1:16" ht="15.75">
      <c r="A24" s="123" t="s">
        <v>63</v>
      </c>
      <c r="B24" s="601">
        <v>82867.531</v>
      </c>
      <c r="C24" s="601"/>
      <c r="D24" s="124">
        <v>98343.603</v>
      </c>
      <c r="E24" s="124">
        <v>95115.356</v>
      </c>
      <c r="F24" s="124">
        <v>63355.465</v>
      </c>
      <c r="G24" s="124">
        <v>93505.157</v>
      </c>
      <c r="H24" s="124">
        <v>65137.076</v>
      </c>
      <c r="I24" s="124">
        <v>73739.704</v>
      </c>
      <c r="J24" s="124">
        <v>48054.039</v>
      </c>
      <c r="K24" s="370">
        <v>39229.166</v>
      </c>
      <c r="L24" s="286">
        <v>54042.027</v>
      </c>
      <c r="M24" s="121">
        <v>60591.123</v>
      </c>
      <c r="N24" s="121">
        <v>83652.289</v>
      </c>
      <c r="O24" s="441">
        <v>114551.233</v>
      </c>
      <c r="P24" s="431">
        <f>'Mov. Cargas '!I107</f>
        <v>66318.445</v>
      </c>
    </row>
    <row r="25" spans="1:16" ht="15.75">
      <c r="A25" s="123" t="s">
        <v>62</v>
      </c>
      <c r="B25" s="122">
        <v>48419.675</v>
      </c>
      <c r="D25" s="121">
        <v>23462.928</v>
      </c>
      <c r="E25" s="121">
        <v>50467.138</v>
      </c>
      <c r="F25" s="119">
        <v>66792.714</v>
      </c>
      <c r="G25" s="121">
        <v>66031.751</v>
      </c>
      <c r="H25" s="121">
        <v>36957.482</v>
      </c>
      <c r="I25" s="120">
        <v>87601.345</v>
      </c>
      <c r="J25" s="124">
        <v>23415.477</v>
      </c>
      <c r="K25" s="124">
        <v>52598.735</v>
      </c>
      <c r="L25" s="119">
        <v>45954.345</v>
      </c>
      <c r="M25" s="121">
        <v>59828.725</v>
      </c>
      <c r="N25" s="370">
        <v>355.588</v>
      </c>
      <c r="O25" s="368">
        <v>74183.124</v>
      </c>
      <c r="P25" s="368">
        <f>'Mov. Cargas '!K107</f>
        <v>66977.022</v>
      </c>
    </row>
    <row r="26" spans="1:16" ht="15.75">
      <c r="A26" s="123" t="s">
        <v>61</v>
      </c>
      <c r="B26" s="122">
        <v>81574.186</v>
      </c>
      <c r="D26" s="121">
        <v>70091.774</v>
      </c>
      <c r="E26" s="121">
        <v>80418.894</v>
      </c>
      <c r="F26" s="121">
        <v>79001.076</v>
      </c>
      <c r="G26" s="124">
        <v>100715.456</v>
      </c>
      <c r="H26" s="119">
        <v>48615.967</v>
      </c>
      <c r="I26" s="119">
        <v>60958.037</v>
      </c>
      <c r="J26" s="119">
        <v>63040.069</v>
      </c>
      <c r="K26" s="370">
        <v>36436.417</v>
      </c>
      <c r="L26" s="119">
        <v>84355.453</v>
      </c>
      <c r="M26" s="124">
        <v>105548.287</v>
      </c>
      <c r="N26" s="120">
        <v>124723.217</v>
      </c>
      <c r="O26" s="368">
        <v>91358.977</v>
      </c>
      <c r="P26" s="368">
        <f>'Mov. Cargas '!M107</f>
        <v>65046.598</v>
      </c>
    </row>
    <row r="27" spans="1:16" ht="15.75">
      <c r="A27" s="123" t="s">
        <v>251</v>
      </c>
      <c r="B27" s="118">
        <f>SUM(B15:B26)</f>
        <v>833578.862</v>
      </c>
      <c r="D27" s="118">
        <f aca="true" t="shared" si="0" ref="D27:I27">SUM(D15:D26)</f>
        <v>527002.8300000001</v>
      </c>
      <c r="E27" s="118">
        <f t="shared" si="0"/>
        <v>664120.69</v>
      </c>
      <c r="F27" s="118">
        <f t="shared" si="0"/>
        <v>669422.686</v>
      </c>
      <c r="G27" s="118">
        <f t="shared" si="0"/>
        <v>878317.1969999999</v>
      </c>
      <c r="H27" s="118">
        <f t="shared" si="0"/>
        <v>655411.0689999998</v>
      </c>
      <c r="I27" s="118">
        <f t="shared" si="0"/>
        <v>730473.081</v>
      </c>
      <c r="J27" s="118">
        <f aca="true" t="shared" si="1" ref="J27:O27">SUM(J15:J26)</f>
        <v>720108.725</v>
      </c>
      <c r="K27" s="118">
        <f t="shared" si="1"/>
        <v>606776.494</v>
      </c>
      <c r="L27" s="118">
        <f t="shared" si="1"/>
        <v>542069.914</v>
      </c>
      <c r="M27" s="290">
        <f t="shared" si="1"/>
        <v>718106.86</v>
      </c>
      <c r="N27" s="290">
        <f t="shared" si="1"/>
        <v>741749.4409999999</v>
      </c>
      <c r="O27" s="290">
        <f t="shared" si="1"/>
        <v>799481.7069999999</v>
      </c>
      <c r="P27" s="290">
        <f>SUM(P15:P26)</f>
        <v>705379.5599999999</v>
      </c>
    </row>
    <row r="28" ht="15">
      <c r="B28" s="117"/>
    </row>
    <row r="29" spans="1:16" ht="15.75">
      <c r="A29" s="597" t="s">
        <v>216</v>
      </c>
      <c r="B29" s="324">
        <v>2008</v>
      </c>
      <c r="C29" s="325"/>
      <c r="D29" s="324">
        <v>2009</v>
      </c>
      <c r="E29" s="324">
        <v>2010</v>
      </c>
      <c r="F29" s="324">
        <v>2011</v>
      </c>
      <c r="G29" s="324">
        <v>2012</v>
      </c>
      <c r="H29" s="324">
        <v>2013</v>
      </c>
      <c r="I29" s="324">
        <v>2014</v>
      </c>
      <c r="J29" s="324">
        <v>2015</v>
      </c>
      <c r="K29" s="324">
        <v>2016</v>
      </c>
      <c r="L29" s="324">
        <v>2017</v>
      </c>
      <c r="M29" s="324">
        <v>2018</v>
      </c>
      <c r="N29" s="324">
        <v>2019</v>
      </c>
      <c r="O29" s="357">
        <v>2020</v>
      </c>
      <c r="P29" s="357">
        <v>2021</v>
      </c>
    </row>
    <row r="30" spans="1:16" ht="15.75">
      <c r="A30" s="597"/>
      <c r="B30" s="321">
        <v>833578.862</v>
      </c>
      <c r="D30" s="321">
        <v>527002.83</v>
      </c>
      <c r="E30" s="321">
        <v>664120.69</v>
      </c>
      <c r="F30" s="321">
        <v>669422.686</v>
      </c>
      <c r="G30" s="321">
        <v>878317.197</v>
      </c>
      <c r="H30" s="321">
        <v>655411.069</v>
      </c>
      <c r="I30" s="321">
        <v>730473.081</v>
      </c>
      <c r="J30" s="322">
        <f aca="true" t="shared" si="2" ref="J30:O30">J27</f>
        <v>720108.725</v>
      </c>
      <c r="K30" s="322">
        <f t="shared" si="2"/>
        <v>606776.494</v>
      </c>
      <c r="L30" s="322">
        <f t="shared" si="2"/>
        <v>542069.914</v>
      </c>
      <c r="M30" s="323">
        <f t="shared" si="2"/>
        <v>718106.86</v>
      </c>
      <c r="N30" s="320">
        <f t="shared" si="2"/>
        <v>741749.4409999999</v>
      </c>
      <c r="O30" s="290">
        <f t="shared" si="2"/>
        <v>799481.7069999999</v>
      </c>
      <c r="P30" s="290">
        <f>P27</f>
        <v>705379.5599999999</v>
      </c>
    </row>
    <row r="34" spans="5:10" ht="15">
      <c r="E34" s="329"/>
      <c r="F34" s="329"/>
      <c r="G34" s="329"/>
      <c r="H34" s="329"/>
      <c r="I34" s="329"/>
      <c r="J34" s="329"/>
    </row>
    <row r="35" spans="5:10" ht="15">
      <c r="E35" s="329"/>
      <c r="F35" s="329"/>
      <c r="G35" s="329"/>
      <c r="H35" s="329"/>
      <c r="I35" s="329"/>
      <c r="J35" s="329"/>
    </row>
  </sheetData>
  <sheetProtection/>
  <mergeCells count="8">
    <mergeCell ref="A29:A30"/>
    <mergeCell ref="K5:M5"/>
    <mergeCell ref="K6:M6"/>
    <mergeCell ref="K4:M4"/>
    <mergeCell ref="B24:C24"/>
    <mergeCell ref="A13:O13"/>
    <mergeCell ref="A9:O9"/>
    <mergeCell ref="A12:P1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56" r:id="rId2"/>
  <ignoredErrors>
    <ignoredError sqref="D27:J27 K27:L27 B27 M27:N27 O2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70"/>
  <sheetViews>
    <sheetView showGridLines="0" zoomScale="85" zoomScaleNormal="85" zoomScalePageLayoutView="0" workbookViewId="0" topLeftCell="A40">
      <selection activeCell="F67" sqref="F67"/>
    </sheetView>
  </sheetViews>
  <sheetFormatPr defaultColWidth="9.140625" defaultRowHeight="12.75"/>
  <cols>
    <col min="1" max="1" width="38.00390625" style="0" customWidth="1"/>
    <col min="2" max="2" width="32.57421875" style="0" customWidth="1"/>
    <col min="3" max="3" width="22.28125" style="0" bestFit="1" customWidth="1"/>
    <col min="4" max="4" width="19.00390625" style="0" customWidth="1"/>
  </cols>
  <sheetData>
    <row r="6" spans="1:12" ht="12.75">
      <c r="A6" s="608" t="s">
        <v>96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</row>
    <row r="7" spans="1:3" ht="15">
      <c r="A7" s="98"/>
      <c r="B7" s="98"/>
      <c r="C7" s="98"/>
    </row>
    <row r="8" spans="1:3" ht="15.75">
      <c r="A8" s="101" t="s">
        <v>95</v>
      </c>
      <c r="B8" s="101" t="s">
        <v>94</v>
      </c>
      <c r="C8" s="101" t="s">
        <v>93</v>
      </c>
    </row>
    <row r="9" spans="1:3" ht="15">
      <c r="A9" s="133" t="s">
        <v>92</v>
      </c>
      <c r="B9" s="134">
        <v>0</v>
      </c>
      <c r="C9" s="134">
        <v>0</v>
      </c>
    </row>
    <row r="10" spans="1:4" ht="15">
      <c r="A10" s="133" t="s">
        <v>175</v>
      </c>
      <c r="B10" s="132">
        <v>606776.494</v>
      </c>
      <c r="C10" s="232">
        <f>B10/12</f>
        <v>50564.70783333333</v>
      </c>
      <c r="D10" s="197"/>
    </row>
    <row r="11" spans="1:4" ht="15">
      <c r="A11" s="133" t="s">
        <v>176</v>
      </c>
      <c r="B11" s="132">
        <v>647161.002</v>
      </c>
      <c r="C11" s="232">
        <f>B11/12</f>
        <v>53930.0835</v>
      </c>
      <c r="D11" s="197"/>
    </row>
    <row r="12" spans="1:4" ht="18">
      <c r="A12" s="133" t="s">
        <v>177</v>
      </c>
      <c r="B12" s="132">
        <v>651410.284</v>
      </c>
      <c r="C12" s="232">
        <f>B12/12</f>
        <v>54284.19033333333</v>
      </c>
      <c r="D12" s="84"/>
    </row>
    <row r="13" spans="1:4" ht="15">
      <c r="A13" s="133" t="s">
        <v>179</v>
      </c>
      <c r="B13" s="132">
        <f>'cargas mensal'!K18+'cargas mensal'!K19+'cargas mensal'!K20+'cargas mensal'!K21+'cargas mensal'!K22+'cargas mensal'!K23+'cargas mensal'!K24+'cargas mensal'!K25+'cargas mensal'!K26+'cargas mensal'!L15+'cargas mensal'!L16+'cargas mensal'!L17</f>
        <v>582288.6399999999</v>
      </c>
      <c r="C13" s="232">
        <f>B13/12</f>
        <v>48524.05333333332</v>
      </c>
      <c r="D13" s="197"/>
    </row>
    <row r="14" spans="1:4" ht="15">
      <c r="A14" s="133" t="s">
        <v>180</v>
      </c>
      <c r="B14" s="132">
        <f>'cargas mensal'!K19+'cargas mensal'!K20+'cargas mensal'!K21+'cargas mensal'!K22+'cargas mensal'!K23+'cargas mensal'!K24+'cargas mensal'!K25+'cargas mensal'!K26+'cargas mensal'!L15+'cargas mensal'!L16+'cargas mensal'!L17+'cargas mensal'!L18</f>
        <v>566204.1699999999</v>
      </c>
      <c r="C14" s="232">
        <f>B14/12</f>
        <v>47183.680833333325</v>
      </c>
      <c r="D14" s="90"/>
    </row>
    <row r="15" spans="1:3" ht="15">
      <c r="A15" s="133" t="s">
        <v>182</v>
      </c>
      <c r="B15" s="132">
        <f>'cargas mensal'!K20+'cargas mensal'!K21+'cargas mensal'!K22+'cargas mensal'!K23+'cargas mensal'!K24+'cargas mensal'!K25+'cargas mensal'!K26+'cargas mensal'!L15+'cargas mensal'!L16+'cargas mensal'!L17+'cargas mensal'!L18+'cargas mensal'!L19</f>
        <v>557242.8030000001</v>
      </c>
      <c r="C15" s="282">
        <f aca="true" t="shared" si="0" ref="C15:C20">B15/12</f>
        <v>46436.900250000006</v>
      </c>
    </row>
    <row r="16" spans="1:4" ht="15">
      <c r="A16" s="133" t="s">
        <v>185</v>
      </c>
      <c r="B16" s="132">
        <f>'cargas mensal'!K21+'cargas mensal'!K22+'cargas mensal'!K23+'cargas mensal'!K24+'cargas mensal'!K25+'cargas mensal'!K26+'cargas mensal'!L15+'cargas mensal'!L16+'cargas mensal'!L17+'cargas mensal'!L18+'cargas mensal'!L19+'cargas mensal'!L20</f>
        <v>598215.137</v>
      </c>
      <c r="C16" s="132">
        <f t="shared" si="0"/>
        <v>49851.26141666667</v>
      </c>
      <c r="D16" s="226"/>
    </row>
    <row r="17" spans="1:4" ht="15">
      <c r="A17" s="133" t="s">
        <v>187</v>
      </c>
      <c r="B17" s="132">
        <f>'cargas mensal'!K22+'cargas mensal'!K23+'cargas mensal'!K24+'cargas mensal'!K25+'cargas mensal'!K26+'cargas mensal'!L15+'cargas mensal'!L16+'cargas mensal'!L17+'cargas mensal'!L18+'cargas mensal'!L19+'cargas mensal'!L20+'cargas mensal'!L21</f>
        <v>580206.3520000001</v>
      </c>
      <c r="C17" s="284">
        <f t="shared" si="0"/>
        <v>48350.52933333334</v>
      </c>
      <c r="D17" s="226"/>
    </row>
    <row r="18" spans="1:3" ht="15">
      <c r="A18" s="133" t="s">
        <v>188</v>
      </c>
      <c r="B18" s="132">
        <f>'cargas mensal'!K23+'cargas mensal'!K24+'cargas mensal'!K25+'cargas mensal'!K26+'cargas mensal'!L15+'cargas mensal'!L16+'cargas mensal'!L17+'cargas mensal'!L18+'cargas mensal'!L19+'cargas mensal'!L20+'cargas mensal'!L21+'cargas mensal'!L22</f>
        <v>539888.525</v>
      </c>
      <c r="C18" s="284">
        <f t="shared" si="0"/>
        <v>44990.71041666667</v>
      </c>
    </row>
    <row r="19" spans="1:4" ht="15">
      <c r="A19" s="458" t="s">
        <v>189</v>
      </c>
      <c r="B19" s="285">
        <f>'cargas mensal'!K24+'cargas mensal'!K25+'cargas mensal'!K26+'cargas mensal'!L15+'cargas mensal'!L16+'cargas mensal'!L17+'cargas mensal'!L18+'cargas mensal'!L19+'cargas mensal'!L20+'cargas mensal'!L21+'cargas mensal'!L22+'cargas mensal'!L23</f>
        <v>485982.407</v>
      </c>
      <c r="C19" s="285">
        <f t="shared" si="0"/>
        <v>40498.53391666667</v>
      </c>
      <c r="D19" s="457" t="s">
        <v>184</v>
      </c>
    </row>
    <row r="20" spans="1:3" ht="15">
      <c r="A20" s="133" t="s">
        <v>190</v>
      </c>
      <c r="B20" s="132">
        <f>'cargas mensal'!K25+'cargas mensal'!K26+'cargas mensal'!L15+'cargas mensal'!L16+'cargas mensal'!L17+'cargas mensal'!L18+'cargas mensal'!L19+'cargas mensal'!L20+'cargas mensal'!L21+'cargas mensal'!L22+'cargas mensal'!L23+'cargas mensal'!L24</f>
        <v>500795.26800000004</v>
      </c>
      <c r="C20" s="284">
        <f t="shared" si="0"/>
        <v>41732.939000000006</v>
      </c>
    </row>
    <row r="21" spans="1:3" ht="15">
      <c r="A21" s="133" t="s">
        <v>191</v>
      </c>
      <c r="B21" s="132">
        <f>'cargas mensal'!K26+'cargas mensal'!L27</f>
        <v>578506.331</v>
      </c>
      <c r="C21" s="284">
        <f aca="true" t="shared" si="1" ref="C21:C27">B21/12</f>
        <v>48208.860916666665</v>
      </c>
    </row>
    <row r="22" spans="1:3" ht="15">
      <c r="A22" s="133" t="s">
        <v>192</v>
      </c>
      <c r="B22" s="132">
        <f>'cargas mensal'!L27</f>
        <v>542069.914</v>
      </c>
      <c r="C22" s="132">
        <f t="shared" si="1"/>
        <v>45172.49283333333</v>
      </c>
    </row>
    <row r="23" spans="1:3" ht="15">
      <c r="A23" s="133" t="s">
        <v>193</v>
      </c>
      <c r="B23" s="292">
        <f>'cargas mensal'!L16+'cargas mensal'!L17+'cargas mensal'!L18+'cargas mensal'!L19+'cargas mensal'!L20+'cargas mensal'!L21+'cargas mensal'!L22+'cargas mensal'!L23+'cargas mensal'!L24+'cargas mensal'!L25+'cargas mensal'!L26+'cargas mensal'!M15</f>
        <v>515043.26100000006</v>
      </c>
      <c r="C23" s="132">
        <f t="shared" si="1"/>
        <v>42920.27175000001</v>
      </c>
    </row>
    <row r="24" spans="1:3" ht="15">
      <c r="A24" s="133" t="s">
        <v>194</v>
      </c>
      <c r="B24" s="132">
        <f>'cargas mensal'!L17+'cargas mensal'!L18+'cargas mensal'!L19+'cargas mensal'!L20+'cargas mensal'!L21+'cargas mensal'!L22+'cargas mensal'!L23+'cargas mensal'!L24+'cargas mensal'!L25+'cargas mensal'!L26+'cargas mensal'!M15+'cargas mensal'!M16</f>
        <v>495095.7349999999</v>
      </c>
      <c r="C24" s="132">
        <f t="shared" si="1"/>
        <v>41257.97791666666</v>
      </c>
    </row>
    <row r="25" spans="1:3" ht="15">
      <c r="A25" s="133" t="s">
        <v>195</v>
      </c>
      <c r="B25" s="132">
        <f>'cargas mensal'!L18+'cargas mensal'!L19+'cargas mensal'!L20+'cargas mensal'!L21+'cargas mensal'!L22+'cargas mensal'!L23+'cargas mensal'!L24+'cargas mensal'!L25+'cargas mensal'!L26+'cargas mensal'!M15+'cargas mensal'!M16+'cargas mensal'!M17</f>
        <v>524893.038</v>
      </c>
      <c r="C25" s="132">
        <f t="shared" si="1"/>
        <v>43741.0865</v>
      </c>
    </row>
    <row r="26" spans="1:3" ht="15">
      <c r="A26" s="133" t="s">
        <v>196</v>
      </c>
      <c r="B26" s="132">
        <f>'cargas mensal'!L19+'cargas mensal'!L20+'cargas mensal'!L21+'cargas mensal'!L22+'cargas mensal'!L23+'cargas mensal'!L24+'cargas mensal'!L25+'cargas mensal'!L26+'cargas mensal'!M15+'cargas mensal'!M16+'cargas mensal'!M17+'cargas mensal'!M18</f>
        <v>561611.9869999998</v>
      </c>
      <c r="C26" s="132">
        <f t="shared" si="1"/>
        <v>46800.99891666666</v>
      </c>
    </row>
    <row r="27" spans="1:3" ht="15">
      <c r="A27" s="133" t="s">
        <v>203</v>
      </c>
      <c r="B27" s="132">
        <f>'cargas mensal'!$L$20+'cargas mensal'!$L$21+'cargas mensal'!$L$22+'cargas mensal'!$L$23+'cargas mensal'!$L$24+'cargas mensal'!$L$25+'cargas mensal'!$L$26+'cargas mensal'!$M$15+'cargas mensal'!$M$16+'cargas mensal'!$M$17+'cargas mensal'!$M$18+'cargas mensal'!$M$19</f>
        <v>568758.3509999999</v>
      </c>
      <c r="C27" s="132">
        <f t="shared" si="1"/>
        <v>47396.52924999999</v>
      </c>
    </row>
    <row r="28" spans="1:3" ht="15">
      <c r="A28" s="133" t="s">
        <v>204</v>
      </c>
      <c r="B28" s="132">
        <f>'cargas mensal'!L21+'cargas mensal'!L22+'cargas mensal'!L23+'cargas mensal'!L24+'cargas mensal'!L25+'cargas mensal'!L26+'cargas mensal'!M15+'cargas mensal'!M16+'cargas mensal'!M17+'cargas mensal'!M18+'cargas mensal'!M19+'cargas mensal'!M20</f>
        <v>574990.733</v>
      </c>
      <c r="C28" s="132">
        <f aca="true" t="shared" si="2" ref="C28:C33">B28/12</f>
        <v>47915.89441666667</v>
      </c>
    </row>
    <row r="29" spans="1:3" ht="15">
      <c r="A29" s="133" t="s">
        <v>205</v>
      </c>
      <c r="B29" s="132">
        <f>'cargas mensal'!L22+'cargas mensal'!L23+'cargas mensal'!L24+'cargas mensal'!L25+'cargas mensal'!L26+'cargas mensal'!M15+'cargas mensal'!M16+'cargas mensal'!M17+'cargas mensal'!M18+'cargas mensal'!M19+'cargas mensal'!M20+'cargas mensal'!M21</f>
        <v>569138.3319999999</v>
      </c>
      <c r="C29" s="132">
        <f t="shared" si="2"/>
        <v>47428.194333333326</v>
      </c>
    </row>
    <row r="30" spans="1:3" ht="15">
      <c r="A30" s="133" t="s">
        <v>208</v>
      </c>
      <c r="B30" s="132">
        <f>'cargas mensal'!L23+'cargas mensal'!L24+'cargas mensal'!L25+'cargas mensal'!L26+'cargas mensal'!M15+'cargas mensal'!M16+'cargas mensal'!M17+'cargas mensal'!M18+'cargas mensal'!M19+'cargas mensal'!M20+'cargas mensal'!M21+'cargas mensal'!M22</f>
        <v>637042.218</v>
      </c>
      <c r="C30" s="284">
        <f t="shared" si="2"/>
        <v>53086.8515</v>
      </c>
    </row>
    <row r="31" spans="1:3" ht="15">
      <c r="A31" s="133" t="s">
        <v>210</v>
      </c>
      <c r="B31" s="132">
        <f>'cargas mensal'!L24+'cargas mensal'!L25+'cargas mensal'!L26+'cargas mensal'!M15+'cargas mensal'!M16+'cargas mensal'!M17+'cargas mensal'!M18+'cargas mensal'!M19+'cargas mensal'!M20+'cargas mensal'!M21+'cargas mensal'!M22+'cargas mensal'!M23</f>
        <v>676490.55</v>
      </c>
      <c r="C31" s="284">
        <f>B31/12</f>
        <v>56374.2125</v>
      </c>
    </row>
    <row r="32" spans="1:3" ht="15">
      <c r="A32" s="133" t="s">
        <v>211</v>
      </c>
      <c r="B32" s="132">
        <f>'cargas mensal'!L25+'cargas mensal'!L26+'cargas mensal'!M15+'cargas mensal'!M16+'cargas mensal'!M17+'cargas mensal'!M18+'cargas mensal'!M19+'cargas mensal'!M20+'cargas mensal'!M21+'cargas mensal'!M22+'cargas mensal'!M23+'cargas mensal'!M24</f>
        <v>683039.6460000001</v>
      </c>
      <c r="C32" s="284">
        <f>B32/12</f>
        <v>56919.9705</v>
      </c>
    </row>
    <row r="33" spans="1:3" ht="15">
      <c r="A33" s="133" t="s">
        <v>212</v>
      </c>
      <c r="B33" s="132">
        <f>'cargas mensal'!L26+'cargas mensal'!M15+'cargas mensal'!M16+'cargas mensal'!M17+'cargas mensal'!M18+'cargas mensal'!M19+'cargas mensal'!M20+'cargas mensal'!M21+'cargas mensal'!M22+'cargas mensal'!M23+'cargas mensal'!M24+'cargas mensal'!M25</f>
        <v>696914.026</v>
      </c>
      <c r="C33" s="284">
        <f t="shared" si="2"/>
        <v>58076.16883333333</v>
      </c>
    </row>
    <row r="34" spans="1:3" ht="15">
      <c r="A34" s="133" t="s">
        <v>214</v>
      </c>
      <c r="B34" s="132">
        <f>'cargas mensal'!M27</f>
        <v>718106.86</v>
      </c>
      <c r="C34" s="284">
        <f aca="true" t="shared" si="3" ref="C34:C39">B34/12</f>
        <v>59842.238333333335</v>
      </c>
    </row>
    <row r="35" spans="1:3" ht="15">
      <c r="A35" s="133" t="s">
        <v>217</v>
      </c>
      <c r="B35" s="132">
        <f>'cargas mensal'!M16+'cargas mensal'!M17+'cargas mensal'!M18+'cargas mensal'!M19+'cargas mensal'!M20+'cargas mensal'!M21+'cargas mensal'!M22+'cargas mensal'!M23+'cargas mensal'!M24+'cargas mensal'!M25+'cargas mensal'!M26+'cargas mensal'!N15</f>
        <v>753557.784</v>
      </c>
      <c r="C35" s="284">
        <f t="shared" si="3"/>
        <v>62796.481999999996</v>
      </c>
    </row>
    <row r="36" spans="1:3" ht="15">
      <c r="A36" s="133" t="s">
        <v>219</v>
      </c>
      <c r="B36" s="132">
        <f>'cargas mensal'!M17+'cargas mensal'!M18+'cargas mensal'!M19+'cargas mensal'!M20+'cargas mensal'!M21+'cargas mensal'!M22+'cargas mensal'!M23+'cargas mensal'!M24+'cargas mensal'!M25+'cargas mensal'!M26+'cargas mensal'!N15+'cargas mensal'!N16</f>
        <v>785430.153</v>
      </c>
      <c r="C36" s="328">
        <f t="shared" si="3"/>
        <v>65452.51275</v>
      </c>
    </row>
    <row r="37" spans="1:3" ht="15">
      <c r="A37" s="133" t="s">
        <v>222</v>
      </c>
      <c r="B37" s="132">
        <f>'cargas mensal'!M18+'cargas mensal'!M19+'cargas mensal'!M20+'cargas mensal'!M21+'cargas mensal'!M22+'cargas mensal'!M23+'cargas mensal'!M24+'cargas mensal'!M25+'cargas mensal'!M26+'cargas mensal'!N15+'cargas mensal'!N16+'cargas mensal'!N17</f>
        <v>801861.267</v>
      </c>
      <c r="C37" s="328">
        <f t="shared" si="3"/>
        <v>66821.77225</v>
      </c>
    </row>
    <row r="38" spans="1:3" ht="15">
      <c r="A38" s="133" t="s">
        <v>224</v>
      </c>
      <c r="B38" s="132">
        <f>'cargas mensal'!M19+'cargas mensal'!M20+'cargas mensal'!M21+'cargas mensal'!M22+'cargas mensal'!M23+'cargas mensal'!M24+'cargas mensal'!M25+'cargas mensal'!M26+'cargas mensal'!N15+'cargas mensal'!N16+'cargas mensal'!N17+'cargas mensal'!N18</f>
        <v>774824.1290000001</v>
      </c>
      <c r="C38" s="328">
        <f t="shared" si="3"/>
        <v>64568.67741666667</v>
      </c>
    </row>
    <row r="39" spans="1:3" ht="15">
      <c r="A39" s="133" t="s">
        <v>227</v>
      </c>
      <c r="B39" s="132">
        <f>'cargas mensal'!M20+'cargas mensal'!M21+'cargas mensal'!M22+'cargas mensal'!M23+'cargas mensal'!M24+'cargas mensal'!M25+'cargas mensal'!M26+'cargas mensal'!N15+'cargas mensal'!N16+'cargas mensal'!N17+'cargas mensal'!N18+'cargas mensal'!N19</f>
        <v>776647.583</v>
      </c>
      <c r="C39" s="328">
        <f t="shared" si="3"/>
        <v>64720.631916666665</v>
      </c>
    </row>
    <row r="40" spans="1:3" ht="15">
      <c r="A40" s="133" t="s">
        <v>229</v>
      </c>
      <c r="B40" s="132">
        <f>'cargas mensal'!$M$21+'cargas mensal'!$M$22+'cargas mensal'!$M$23+'cargas mensal'!$M$24+'cargas mensal'!$M$25+'cargas mensal'!$M$26+'cargas mensal'!$N$15+'cargas mensal'!$N$16+'cargas mensal'!$N$17+'cargas mensal'!$N$18+'cargas mensal'!$N$19+'cargas mensal'!$N$20</f>
        <v>783544.6470000001</v>
      </c>
      <c r="C40" s="284">
        <f aca="true" t="shared" si="4" ref="C40:C48">B40/12</f>
        <v>65295.38725000001</v>
      </c>
    </row>
    <row r="41" spans="1:4" ht="15">
      <c r="A41" s="442" t="s">
        <v>233</v>
      </c>
      <c r="B41" s="282">
        <f>'cargas mensal'!M22+'cargas mensal'!M23+'cargas mensal'!M24+'cargas mensal'!M25+'cargas mensal'!M26+'cargas mensal'!N15+'cargas mensal'!N16+'cargas mensal'!N17+'cargas mensal'!N18+'cargas mensal'!N19+'cargas mensal'!N20+'cargas mensal'!N21</f>
        <v>838409.408</v>
      </c>
      <c r="C41" s="328">
        <f t="shared" si="4"/>
        <v>69867.45066666667</v>
      </c>
      <c r="D41" s="329"/>
    </row>
    <row r="42" spans="1:3" ht="15">
      <c r="A42" s="133" t="s">
        <v>235</v>
      </c>
      <c r="B42" s="132">
        <f>'cargas mensal'!M23+'cargas mensal'!M24+'cargas mensal'!M25+'cargas mensal'!M26+'cargas mensal'!N15+'cargas mensal'!N16+'cargas mensal'!N17+'cargas mensal'!N18+'cargas mensal'!N19+'cargas mensal'!N20+'cargas mensal'!N21+'cargas mensal'!N22</f>
        <v>789070.2699999999</v>
      </c>
      <c r="C42" s="284">
        <f t="shared" si="4"/>
        <v>65755.85583333332</v>
      </c>
    </row>
    <row r="43" spans="1:4" ht="15">
      <c r="A43" s="133" t="s">
        <v>237</v>
      </c>
      <c r="B43" s="132">
        <f>'cargas mensal'!M24+'cargas mensal'!M25+'cargas mensal'!M26+'cargas mensal'!N15+'cargas mensal'!N16+'cargas mensal'!N17+'cargas mensal'!N18+'cargas mensal'!N19+'cargas mensal'!N20+'cargas mensal'!N21+'cargas mensal'!N22+'cargas mensal'!N23</f>
        <v>758986.482</v>
      </c>
      <c r="C43" s="328">
        <f t="shared" si="4"/>
        <v>63248.873499999994</v>
      </c>
      <c r="D43" s="253"/>
    </row>
    <row r="44" spans="1:3" ht="15">
      <c r="A44" s="133" t="s">
        <v>239</v>
      </c>
      <c r="B44" s="132">
        <f>'cargas mensal'!M25+'cargas mensal'!M26+'cargas mensal'!N15+'cargas mensal'!N16+'cargas mensal'!N17+'cargas mensal'!N18+'cargas mensal'!N19+'cargas mensal'!N20+'cargas mensal'!N21+'cargas mensal'!N22+'cargas mensal'!N23+'cargas mensal'!N24</f>
        <v>782047.6479999999</v>
      </c>
      <c r="C44" s="328">
        <f t="shared" si="4"/>
        <v>65170.637333333325</v>
      </c>
    </row>
    <row r="45" spans="1:4" ht="15">
      <c r="A45" s="133" t="s">
        <v>241</v>
      </c>
      <c r="B45" s="282">
        <f>'cargas mensal'!M26+'cargas mensal'!N15+'cargas mensal'!N16+'cargas mensal'!N17+'cargas mensal'!N18+'cargas mensal'!N19+'cargas mensal'!N20+'cargas mensal'!N21+'cargas mensal'!N22+'cargas mensal'!N23+'cargas mensal'!N24+'cargas mensal'!N25</f>
        <v>722574.5109999999</v>
      </c>
      <c r="C45" s="328">
        <f t="shared" si="4"/>
        <v>60214.54258333333</v>
      </c>
      <c r="D45" s="253"/>
    </row>
    <row r="46" spans="1:3" ht="15">
      <c r="A46" s="133" t="s">
        <v>243</v>
      </c>
      <c r="B46" s="132">
        <f>'cargas mensal'!N27</f>
        <v>741749.4409999999</v>
      </c>
      <c r="C46" s="328">
        <f t="shared" si="4"/>
        <v>61812.453416666656</v>
      </c>
    </row>
    <row r="47" spans="1:3" ht="15">
      <c r="A47" s="133" t="s">
        <v>244</v>
      </c>
      <c r="B47" s="132">
        <f>'cargas mensal'!N16+'cargas mensal'!N17+'cargas mensal'!N18+'cargas mensal'!N19+'cargas mensal'!N20+'cargas mensal'!N21+'cargas mensal'!N22+'cargas mensal'!N23+'cargas mensal'!N24+'cargas mensal'!N25+'cargas mensal'!N26+'cargas mensal'!O15</f>
        <v>719594.921</v>
      </c>
      <c r="C47" s="328">
        <f t="shared" si="4"/>
        <v>59966.243416666664</v>
      </c>
    </row>
    <row r="48" spans="1:3" ht="15">
      <c r="A48" s="133" t="s">
        <v>247</v>
      </c>
      <c r="B48" s="132">
        <f>'cargas mensal'!N17+'cargas mensal'!N18+'cargas mensal'!N19+'cargas mensal'!N20+'cargas mensal'!N21+'cargas mensal'!N22+'cargas mensal'!N23+'cargas mensal'!N24+'cargas mensal'!N25+'cargas mensal'!N26+'cargas mensal'!O15+'cargas mensal'!O16</f>
        <v>716097.2590000001</v>
      </c>
      <c r="C48" s="328">
        <f t="shared" si="4"/>
        <v>59674.77158333334</v>
      </c>
    </row>
    <row r="49" spans="1:3" ht="15">
      <c r="A49" s="133" t="s">
        <v>250</v>
      </c>
      <c r="B49" s="132">
        <f>'cargas mensal'!N18+'cargas mensal'!N19+'cargas mensal'!N20+'cargas mensal'!N21+'cargas mensal'!N22+'cargas mensal'!N23+'cargas mensal'!N24+'cargas mensal'!N25+'cargas mensal'!N26+'cargas mensal'!O15+'cargas mensal'!O16+'cargas mensal'!O17</f>
        <v>667844.274</v>
      </c>
      <c r="C49" s="328">
        <f aca="true" t="shared" si="5" ref="C49:C54">B49/12</f>
        <v>55653.6895</v>
      </c>
    </row>
    <row r="50" spans="1:3" ht="15">
      <c r="A50" s="133" t="s">
        <v>252</v>
      </c>
      <c r="B50" s="132">
        <f>'cargas mensal'!N19+'cargas mensal'!N20+'cargas mensal'!N21+'cargas mensal'!N22+'cargas mensal'!N23+'cargas mensal'!N24+'cargas mensal'!N25+'cargas mensal'!N26+'cargas mensal'!O15+'cargas mensal'!O16+'cargas mensal'!O17+'cargas mensal'!O18</f>
        <v>695275.1830000001</v>
      </c>
      <c r="C50" s="328">
        <f t="shared" si="5"/>
        <v>57939.59858333334</v>
      </c>
    </row>
    <row r="51" spans="1:3" ht="15">
      <c r="A51" s="133" t="s">
        <v>253</v>
      </c>
      <c r="B51" s="132">
        <f>'cargas mensal'!N20+'cargas mensal'!N21+'cargas mensal'!N22+'cargas mensal'!N23+'cargas mensal'!N24+'cargas mensal'!N25+'cargas mensal'!N26+'cargas mensal'!O15+'cargas mensal'!O16+'cargas mensal'!O17+'cargas mensal'!O18+'cargas mensal'!O19</f>
        <v>720575.231</v>
      </c>
      <c r="C51" s="328">
        <f t="shared" si="5"/>
        <v>60047.93591666667</v>
      </c>
    </row>
    <row r="52" spans="1:3" ht="15">
      <c r="A52" s="133" t="s">
        <v>259</v>
      </c>
      <c r="B52" s="132">
        <f>'cargas mensal'!N21+'cargas mensal'!N22+'cargas mensal'!N23+'cargas mensal'!N24+'cargas mensal'!N25+'cargas mensal'!N26+'cargas mensal'!O15+'cargas mensal'!O16+'cargas mensal'!O17+'cargas mensal'!O18+'cargas mensal'!O19+'cargas mensal'!O20</f>
        <v>660535.338</v>
      </c>
      <c r="C52" s="284">
        <f t="shared" si="5"/>
        <v>55044.6115</v>
      </c>
    </row>
    <row r="53" spans="1:3" ht="15">
      <c r="A53" s="133" t="s">
        <v>262</v>
      </c>
      <c r="B53" s="132">
        <f>'cargas mensal'!N22+'cargas mensal'!N23+'cargas mensal'!N24+'cargas mensal'!N25+'cargas mensal'!N26+'cargas mensal'!O15+'cargas mensal'!O16+'cargas mensal'!O17+'cargas mensal'!O18+'cargas mensal'!O19+'cargas mensal'!O20+'cargas mensal'!O21</f>
        <v>673816.15</v>
      </c>
      <c r="C53" s="284">
        <f t="shared" si="5"/>
        <v>56151.34583333333</v>
      </c>
    </row>
    <row r="54" spans="1:3" ht="15">
      <c r="A54" s="133" t="s">
        <v>263</v>
      </c>
      <c r="B54" s="132">
        <f>'cargas mensal'!N23+'cargas mensal'!N24+'cargas mensal'!N25+'cargas mensal'!N26+'cargas mensal'!O15+'cargas mensal'!O16+'cargas mensal'!O17+'cargas mensal'!O18+'cargas mensal'!O19+'cargas mensal'!O20+'cargas mensal'!O21+'cargas mensal'!O22</f>
        <v>697086.559</v>
      </c>
      <c r="C54" s="284">
        <f t="shared" si="5"/>
        <v>58090.54658333334</v>
      </c>
    </row>
    <row r="55" spans="1:3" ht="15">
      <c r="A55" s="133" t="s">
        <v>269</v>
      </c>
      <c r="B55" s="132">
        <f>'cargas mensal'!N24+'cargas mensal'!N25+'cargas mensal'!N26+'cargas mensal'!O15+'cargas mensal'!O16+'cargas mensal'!O17+'cargas mensal'!O18+'cargas mensal'!O19+'cargas mensal'!O20+'cargas mensal'!O21+'cargas mensal'!O22+'cargas mensal'!O23</f>
        <v>728119.4670000001</v>
      </c>
      <c r="C55" s="403">
        <f aca="true" t="shared" si="6" ref="C55:C60">B55/12</f>
        <v>60676.62225000001</v>
      </c>
    </row>
    <row r="56" spans="1:3" ht="15">
      <c r="A56" s="133" t="s">
        <v>271</v>
      </c>
      <c r="B56" s="132">
        <f>'cargas mensal'!N25+'cargas mensal'!N26+'cargas mensal'!O15+'cargas mensal'!O16+'cargas mensal'!O17+'cargas mensal'!O18+'cargas mensal'!O19+'cargas mensal'!O20+'cargas mensal'!O21+'cargas mensal'!O22+'cargas mensal'!O23+'cargas mensal'!O24</f>
        <v>759018.4110000001</v>
      </c>
      <c r="C56" s="284">
        <f t="shared" si="6"/>
        <v>63251.534250000004</v>
      </c>
    </row>
    <row r="57" spans="1:3" ht="15">
      <c r="A57" s="133" t="s">
        <v>274</v>
      </c>
      <c r="B57" s="132">
        <f>'cargas mensal'!N26+'cargas mensal'!O15+'cargas mensal'!O16+'cargas mensal'!O17+'cargas mensal'!O18+'cargas mensal'!O19+'cargas mensal'!O20+'cargas mensal'!O21+'cargas mensal'!O22+'cargas mensal'!O23+'cargas mensal'!O24+'cargas mensal'!O25</f>
        <v>832845.9469999999</v>
      </c>
      <c r="C57" s="284">
        <f t="shared" si="6"/>
        <v>69403.82891666667</v>
      </c>
    </row>
    <row r="58" spans="1:3" ht="15">
      <c r="A58" s="133" t="s">
        <v>276</v>
      </c>
      <c r="B58" s="132">
        <f>'cargas mensal'!O27</f>
        <v>799481.7069999999</v>
      </c>
      <c r="C58" s="284">
        <f t="shared" si="6"/>
        <v>66623.47558333333</v>
      </c>
    </row>
    <row r="59" spans="1:3" ht="15">
      <c r="A59" s="133" t="s">
        <v>284</v>
      </c>
      <c r="B59" s="132">
        <f>'cargas mensal'!O16+'cargas mensal'!O17+'cargas mensal'!O18+'cargas mensal'!O19+'cargas mensal'!O20+'cargas mensal'!O21+'cargas mensal'!O22+'cargas mensal'!O23+'cargas mensal'!O24+'cargas mensal'!O25+'cargas mensal'!O26+'cargas mensal'!P15</f>
        <v>793079.3809999999</v>
      </c>
      <c r="C59" s="284">
        <f t="shared" si="6"/>
        <v>66089.94841666667</v>
      </c>
    </row>
    <row r="60" spans="1:3" ht="15">
      <c r="A60" s="442" t="s">
        <v>298</v>
      </c>
      <c r="B60" s="282">
        <f>'cargas mensal'!O17+'cargas mensal'!O18+'cargas mensal'!O19+'cargas mensal'!O20+'cargas mensal'!O21+'cargas mensal'!O22+'cargas mensal'!O23+'cargas mensal'!O24+'cargas mensal'!O25+'cargas mensal'!O26+'cargas mensal'!P15+'cargas mensal'!P16</f>
        <v>840479.4859999998</v>
      </c>
      <c r="C60" s="328">
        <f t="shared" si="6"/>
        <v>70039.95716666665</v>
      </c>
    </row>
    <row r="61" spans="1:4" ht="15.75">
      <c r="A61" s="442" t="s">
        <v>318</v>
      </c>
      <c r="B61" s="282">
        <f>'cargas mensal'!$O$18+'cargas mensal'!$O$19+'cargas mensal'!$O$20+'cargas mensal'!$O$21+'cargas mensal'!$O$22+'cargas mensal'!$O$23+'cargas mensal'!$O$24+'cargas mensal'!$O$25+'cargas mensal'!$O$26+'cargas mensal'!$P$15+'cargas mensal'!$P$16+'cargas mensal'!$P$17</f>
        <v>865806.1299999998</v>
      </c>
      <c r="C61" s="328">
        <f aca="true" t="shared" si="7" ref="C61:C66">B61/12</f>
        <v>72150.51083333332</v>
      </c>
      <c r="D61" s="452"/>
    </row>
    <row r="62" spans="1:4" ht="15.75">
      <c r="A62" s="460" t="s">
        <v>327</v>
      </c>
      <c r="B62" s="461">
        <f>'cargas mensal'!O19+'cargas mensal'!O20+'cargas mensal'!O21+'cargas mensal'!O22+'cargas mensal'!O23+'cargas mensal'!O24+'cargas mensal'!O25+'cargas mensal'!O26+'cargas mensal'!P15+'cargas mensal'!P16+'cargas mensal'!P17+'cargas mensal'!P18</f>
        <v>906951.9019999999</v>
      </c>
      <c r="C62" s="462">
        <f t="shared" si="7"/>
        <v>75579.32516666666</v>
      </c>
      <c r="D62" s="450" t="s">
        <v>183</v>
      </c>
    </row>
    <row r="63" spans="1:3" ht="15">
      <c r="A63" s="459" t="s">
        <v>349</v>
      </c>
      <c r="B63" s="132">
        <f>'cargas mensal'!O20+'cargas mensal'!O21+'cargas mensal'!O22+'cargas mensal'!O23+'cargas mensal'!O24+'cargas mensal'!O25+'cargas mensal'!O26+'cargas mensal'!P15+'cargas mensal'!P16+'cargas mensal'!P17+'cargas mensal'!P18+'cargas mensal'!P19</f>
        <v>870482.9949999999</v>
      </c>
      <c r="C63" s="284">
        <f t="shared" si="7"/>
        <v>72540.24958333332</v>
      </c>
    </row>
    <row r="64" spans="1:3" ht="15">
      <c r="A64" s="459" t="s">
        <v>357</v>
      </c>
      <c r="B64" s="132">
        <f>'cargas mensal'!O21+'cargas mensal'!O22+'cargas mensal'!O23+'cargas mensal'!O24+'cargas mensal'!O25+'cargas mensal'!O26+'cargas mensal'!P15+'cargas mensal'!P16+'cargas mensal'!P17+'cargas mensal'!P18+'cargas mensal'!P19+'cargas mensal'!P20</f>
        <v>885474.2349999999</v>
      </c>
      <c r="C64" s="132">
        <f t="shared" si="7"/>
        <v>73789.51958333333</v>
      </c>
    </row>
    <row r="65" spans="1:3" ht="15">
      <c r="A65" s="459" t="s">
        <v>397</v>
      </c>
      <c r="B65" s="132">
        <f>'cargas mensal'!O22+'cargas mensal'!O23+'cargas mensal'!O24+'cargas mensal'!O25+'cargas mensal'!O26+'cargas mensal'!P15+'cargas mensal'!P16+'cargas mensal'!P17+'cargas mensal'!P18+'cargas mensal'!P19+'cargas mensal'!P20+'cargas mensal'!P21</f>
        <v>824473.9299999999</v>
      </c>
      <c r="C65" s="284">
        <f t="shared" si="7"/>
        <v>68706.16083333333</v>
      </c>
    </row>
    <row r="66" spans="1:3" ht="15">
      <c r="A66" s="133" t="s">
        <v>412</v>
      </c>
      <c r="B66" s="132">
        <f>'cargas mensal'!O23+'cargas mensal'!O24+'cargas mensal'!O25+'cargas mensal'!O26+'cargas mensal'!P15+'cargas mensal'!P16+'cargas mensal'!P17+'cargas mensal'!P18+'cargas mensal'!P19+'cargas mensal'!P20+'cargas mensal'!P21+'cargas mensal'!P22</f>
        <v>817091.973</v>
      </c>
      <c r="C66" s="284">
        <f t="shared" si="7"/>
        <v>68090.99775</v>
      </c>
    </row>
    <row r="67" spans="1:3" ht="15">
      <c r="A67" s="133" t="s">
        <v>434</v>
      </c>
      <c r="B67" s="132">
        <f>'cargas mensal'!O24+'cargas mensal'!O25+'cargas mensal'!O26+'cargas mensal'!P15+'cargas mensal'!P16+'cargas mensal'!P17+'cargas mensal'!P18+'cargas mensal'!P19+'cargas mensal'!P20+'cargas mensal'!P21+'cargas mensal'!P22+'cargas mensal'!P23</f>
        <v>787130.829</v>
      </c>
      <c r="C67" s="284">
        <f>B67/12</f>
        <v>65594.23575</v>
      </c>
    </row>
    <row r="68" spans="1:3" ht="15">
      <c r="A68" s="133" t="s">
        <v>467</v>
      </c>
      <c r="B68" s="132">
        <f>'cargas mensal'!$O$25+'cargas mensal'!$O$26+'cargas mensal'!$P$15+'cargas mensal'!$P$16+'cargas mensal'!$P$17+'cargas mensal'!$P$18+'cargas mensal'!$P$19+'cargas mensal'!$P$20+'cargas mensal'!$P$21+'cargas mensal'!$P$22+'cargas mensal'!$P$23+'cargas mensal'!$P$24</f>
        <v>738898.041</v>
      </c>
      <c r="C68" s="284">
        <f>B68/12</f>
        <v>61574.836749999995</v>
      </c>
    </row>
    <row r="69" spans="1:3" ht="15">
      <c r="A69" s="133" t="s">
        <v>468</v>
      </c>
      <c r="B69" s="132">
        <f>'cargas mensal'!O26+'cargas mensal'!P15+'cargas mensal'!P16+'cargas mensal'!P17+'cargas mensal'!P18+'cargas mensal'!P19+'cargas mensal'!P20+'cargas mensal'!P21+'cargas mensal'!P22+'cargas mensal'!P23+'cargas mensal'!P24+'cargas mensal'!P25</f>
        <v>731691.9390000001</v>
      </c>
      <c r="C69" s="284">
        <f>B69/12</f>
        <v>60974.32825000001</v>
      </c>
    </row>
    <row r="70" spans="1:3" ht="15">
      <c r="A70" s="133" t="s">
        <v>499</v>
      </c>
      <c r="B70" s="132">
        <f>'cargas mensal'!P30</f>
        <v>705379.5599999999</v>
      </c>
      <c r="C70" s="284">
        <f>B70/12</f>
        <v>58781.63</v>
      </c>
    </row>
  </sheetData>
  <sheetProtection/>
  <mergeCells count="1">
    <mergeCell ref="A6:L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showGridLines="0" zoomScale="75" zoomScaleNormal="75" zoomScalePageLayoutView="0" workbookViewId="0" topLeftCell="A2">
      <selection activeCell="E15" sqref="E15"/>
    </sheetView>
  </sheetViews>
  <sheetFormatPr defaultColWidth="9.140625" defaultRowHeight="12.75"/>
  <cols>
    <col min="1" max="1" width="25.00390625" style="82" customWidth="1"/>
    <col min="2" max="2" width="28.00390625" style="82" bestFit="1" customWidth="1"/>
    <col min="3" max="3" width="20.8515625" style="82" bestFit="1" customWidth="1"/>
    <col min="4" max="4" width="22.421875" style="82" bestFit="1" customWidth="1"/>
    <col min="5" max="5" width="25.140625" style="82" bestFit="1" customWidth="1"/>
    <col min="6" max="6" width="20.8515625" style="82" bestFit="1" customWidth="1"/>
    <col min="7" max="7" width="18.8515625" style="82" customWidth="1"/>
    <col min="8" max="8" width="1.7109375" style="83" customWidth="1"/>
    <col min="9" max="9" width="14.00390625" style="82" customWidth="1"/>
    <col min="10" max="10" width="26.421875" style="82" bestFit="1" customWidth="1"/>
    <col min="11" max="11" width="14.00390625" style="82" bestFit="1" customWidth="1"/>
    <col min="12" max="16384" width="9.140625" style="82" customWidth="1"/>
  </cols>
  <sheetData>
    <row r="2" spans="1:9" ht="23.25">
      <c r="A2" s="614" t="s">
        <v>82</v>
      </c>
      <c r="B2" s="614"/>
      <c r="C2" s="614"/>
      <c r="D2" s="614"/>
      <c r="E2" s="614"/>
      <c r="F2" s="614"/>
      <c r="G2" s="614"/>
      <c r="H2" s="614"/>
      <c r="I2" s="614"/>
    </row>
    <row r="4" spans="1:9" ht="20.25">
      <c r="A4" s="615" t="s">
        <v>81</v>
      </c>
      <c r="B4" s="615"/>
      <c r="C4" s="615"/>
      <c r="D4" s="615"/>
      <c r="E4" s="615"/>
      <c r="F4" s="615"/>
      <c r="G4" s="615"/>
      <c r="H4" s="615"/>
      <c r="I4" s="615"/>
    </row>
    <row r="5" spans="1:9" ht="20.25">
      <c r="A5" s="615" t="s">
        <v>80</v>
      </c>
      <c r="B5" s="615"/>
      <c r="C5" s="615"/>
      <c r="D5" s="615"/>
      <c r="E5" s="615"/>
      <c r="F5" s="615"/>
      <c r="G5" s="615"/>
      <c r="H5" s="615"/>
      <c r="I5" s="615"/>
    </row>
    <row r="6" spans="1:9" ht="20.25">
      <c r="A6" s="615" t="s">
        <v>79</v>
      </c>
      <c r="B6" s="615"/>
      <c r="C6" s="615"/>
      <c r="D6" s="615"/>
      <c r="E6" s="615"/>
      <c r="F6" s="615"/>
      <c r="G6" s="615"/>
      <c r="H6" s="615"/>
      <c r="I6" s="615"/>
    </row>
    <row r="7" spans="1:8" ht="20.25">
      <c r="A7" s="106"/>
      <c r="B7" s="106"/>
      <c r="C7" s="106"/>
      <c r="D7" s="106"/>
      <c r="E7" s="106"/>
      <c r="F7" s="615"/>
      <c r="G7" s="615"/>
      <c r="H7" s="615"/>
    </row>
    <row r="9" spans="1:14" ht="23.25">
      <c r="A9" s="105"/>
      <c r="B9" s="611">
        <v>2020</v>
      </c>
      <c r="C9" s="612"/>
      <c r="D9" s="613"/>
      <c r="E9" s="611">
        <v>2021</v>
      </c>
      <c r="F9" s="612"/>
      <c r="G9" s="613"/>
      <c r="H9" s="104"/>
      <c r="I9" s="103" t="s">
        <v>78</v>
      </c>
      <c r="J9" s="96"/>
      <c r="K9" s="96"/>
      <c r="L9" s="96"/>
      <c r="M9" s="96"/>
      <c r="N9" s="96"/>
    </row>
    <row r="10" spans="1:14" ht="20.25">
      <c r="A10" s="88" t="s">
        <v>77</v>
      </c>
      <c r="B10" s="102" t="s">
        <v>76</v>
      </c>
      <c r="C10" s="102" t="s">
        <v>75</v>
      </c>
      <c r="D10" s="101" t="s">
        <v>74</v>
      </c>
      <c r="E10" s="102" t="s">
        <v>76</v>
      </c>
      <c r="F10" s="102" t="s">
        <v>75</v>
      </c>
      <c r="G10" s="101" t="s">
        <v>74</v>
      </c>
      <c r="H10" s="100"/>
      <c r="I10" s="99" t="s">
        <v>73</v>
      </c>
      <c r="J10" s="96"/>
      <c r="K10" s="96"/>
      <c r="L10" s="96"/>
      <c r="M10" s="96"/>
      <c r="N10" s="96"/>
    </row>
    <row r="11" spans="1:14" ht="20.25">
      <c r="A11" s="353" t="s">
        <v>72</v>
      </c>
      <c r="B11" s="92">
        <v>44117.54</v>
      </c>
      <c r="C11" s="90">
        <v>10631.901</v>
      </c>
      <c r="D11" s="358">
        <f>SUM(B11:C11)</f>
        <v>54749.441</v>
      </c>
      <c r="E11" s="432">
        <f>'Mov. Cargas '!C28</f>
        <v>48080.98299999999</v>
      </c>
      <c r="F11" s="90">
        <f>'Mov. Cargas '!C42</f>
        <v>266.132</v>
      </c>
      <c r="G11" s="346">
        <f>E11+F11</f>
        <v>48347.11499999999</v>
      </c>
      <c r="H11" s="89"/>
      <c r="I11" s="229">
        <f aca="true" t="shared" si="0" ref="I11:I16">G11/D11-1</f>
        <v>-0.11693865513622337</v>
      </c>
      <c r="J11" s="97"/>
      <c r="K11" s="96"/>
      <c r="L11" s="96"/>
      <c r="M11" s="96"/>
      <c r="N11" s="96"/>
    </row>
    <row r="12" spans="1:11" ht="20.25">
      <c r="A12" s="353" t="s">
        <v>71</v>
      </c>
      <c r="B12" s="92">
        <v>41462.094</v>
      </c>
      <c r="C12" s="90">
        <v>242.07</v>
      </c>
      <c r="D12" s="358">
        <f aca="true" t="shared" si="1" ref="D12:D22">SUM(B12:C12)</f>
        <v>41704.164</v>
      </c>
      <c r="E12" s="92">
        <f>'Mov. Cargas '!E28</f>
        <v>63603.992000000006</v>
      </c>
      <c r="F12" s="90">
        <f>'Mov. Cargas '!E42</f>
        <v>25500.277000000002</v>
      </c>
      <c r="G12" s="347">
        <f>SUM(E12:F12)</f>
        <v>89104.269</v>
      </c>
      <c r="H12" s="89"/>
      <c r="I12" s="229">
        <f t="shared" si="0"/>
        <v>1.1365796710371656</v>
      </c>
      <c r="J12" s="91" t="s">
        <v>12</v>
      </c>
      <c r="K12" s="91"/>
    </row>
    <row r="13" spans="1:10" ht="20.25">
      <c r="A13" s="353" t="s">
        <v>70</v>
      </c>
      <c r="B13" s="92">
        <v>12566.848</v>
      </c>
      <c r="C13" s="90">
        <v>239.223</v>
      </c>
      <c r="D13" s="358">
        <f t="shared" si="1"/>
        <v>12806.071</v>
      </c>
      <c r="E13" s="92">
        <f>'Mov. Cargas '!G28</f>
        <v>37875.465</v>
      </c>
      <c r="F13" s="90">
        <f>'Mov. Cargas '!G42</f>
        <v>257.25</v>
      </c>
      <c r="G13" s="348">
        <f>SUM(E13,F13)</f>
        <v>38132.715</v>
      </c>
      <c r="H13" s="89"/>
      <c r="I13" s="229">
        <f t="shared" si="0"/>
        <v>1.9777060427042765</v>
      </c>
      <c r="J13" s="95" t="s">
        <v>12</v>
      </c>
    </row>
    <row r="14" spans="1:9" ht="20.25">
      <c r="A14" s="353" t="s">
        <v>69</v>
      </c>
      <c r="B14" s="92">
        <v>66484.328</v>
      </c>
      <c r="C14" s="90">
        <v>220.229</v>
      </c>
      <c r="D14" s="358">
        <f t="shared" si="1"/>
        <v>66704.557</v>
      </c>
      <c r="E14" s="92">
        <f>'Mov. Cargas '!I28</f>
        <v>84229.43</v>
      </c>
      <c r="F14" s="90">
        <f>'Mov. Cargas '!I42</f>
        <v>23620.898999999998</v>
      </c>
      <c r="G14" s="347">
        <f>E14+F14</f>
        <v>107850.329</v>
      </c>
      <c r="H14" s="93"/>
      <c r="I14" s="229">
        <f t="shared" si="0"/>
        <v>0.6168359981762566</v>
      </c>
    </row>
    <row r="15" spans="1:10" ht="20.25">
      <c r="A15" s="353" t="s">
        <v>68</v>
      </c>
      <c r="B15" s="92">
        <v>58544.16</v>
      </c>
      <c r="C15" s="90">
        <v>5718.148</v>
      </c>
      <c r="D15" s="358">
        <f t="shared" si="1"/>
        <v>64262.308000000005</v>
      </c>
      <c r="E15" s="92">
        <f>'Mov. Cargas '!K28</f>
        <v>23834.397999999997</v>
      </c>
      <c r="F15" s="90">
        <f>'Mov. Cargas '!K42</f>
        <v>3959.0029999999997</v>
      </c>
      <c r="G15" s="347">
        <f>SUM(E15,F15)</f>
        <v>27793.400999999998</v>
      </c>
      <c r="H15" s="93"/>
      <c r="I15" s="229">
        <f t="shared" si="0"/>
        <v>-0.5675007346452605</v>
      </c>
      <c r="J15" s="91"/>
    </row>
    <row r="16" spans="1:10" ht="20.25">
      <c r="A16" s="353" t="s">
        <v>67</v>
      </c>
      <c r="B16" s="92">
        <v>19630.637</v>
      </c>
      <c r="C16" s="90">
        <v>15227.54</v>
      </c>
      <c r="D16" s="358">
        <f t="shared" si="1"/>
        <v>34858.176999999996</v>
      </c>
      <c r="E16" s="92">
        <f>'Mov. Cargas '!M28</f>
        <v>45126.558</v>
      </c>
      <c r="F16" s="90">
        <f>'Mov. Cargas '!M42</f>
        <v>4722.8589999999995</v>
      </c>
      <c r="G16" s="347">
        <f aca="true" t="shared" si="2" ref="G16:G22">SUM(E16:F16)</f>
        <v>49849.416999999994</v>
      </c>
      <c r="H16" s="93"/>
      <c r="I16" s="229">
        <f t="shared" si="0"/>
        <v>0.4300637982301829</v>
      </c>
      <c r="J16" s="91"/>
    </row>
    <row r="17" spans="1:10" ht="20.25">
      <c r="A17" s="353" t="s">
        <v>66</v>
      </c>
      <c r="B17" s="92">
        <v>58622.601</v>
      </c>
      <c r="C17" s="90">
        <v>37794.799</v>
      </c>
      <c r="D17" s="358">
        <f t="shared" si="1"/>
        <v>96417.4</v>
      </c>
      <c r="E17" s="92">
        <f>'Mov. Cargas '!C90</f>
        <v>35137.87</v>
      </c>
      <c r="F17" s="90">
        <f>'Mov. Cargas '!C105</f>
        <v>279.22499999999997</v>
      </c>
      <c r="G17" s="347">
        <f t="shared" si="2"/>
        <v>35417.095</v>
      </c>
      <c r="H17" s="89"/>
      <c r="I17" s="250">
        <f aca="true" t="shared" si="3" ref="I17:I23">G17/D17-1</f>
        <v>-0.6326690514367739</v>
      </c>
      <c r="J17" s="94"/>
    </row>
    <row r="18" spans="1:10" ht="20.25">
      <c r="A18" s="353" t="s">
        <v>65</v>
      </c>
      <c r="B18" s="92">
        <v>62160.397</v>
      </c>
      <c r="C18" s="90">
        <v>13571.848</v>
      </c>
      <c r="D18" s="358">
        <f t="shared" si="1"/>
        <v>75732.245</v>
      </c>
      <c r="E18" s="92">
        <f>'Mov. Cargas '!E90</f>
        <v>61667.109000000004</v>
      </c>
      <c r="F18" s="90">
        <f>'Mov. Cargas '!E105</f>
        <v>6683.179</v>
      </c>
      <c r="G18" s="347">
        <f t="shared" si="2"/>
        <v>68350.288</v>
      </c>
      <c r="H18" s="89"/>
      <c r="I18" s="250">
        <f t="shared" si="3"/>
        <v>-0.09747442453343347</v>
      </c>
      <c r="J18" s="91"/>
    </row>
    <row r="19" spans="1:9" ht="20.25">
      <c r="A19" s="353" t="s">
        <v>64</v>
      </c>
      <c r="B19" s="92">
        <v>28936.611</v>
      </c>
      <c r="C19" s="90">
        <v>43217.399</v>
      </c>
      <c r="D19" s="358">
        <f t="shared" si="1"/>
        <v>72154.01</v>
      </c>
      <c r="E19" s="92">
        <f>'Mov. Cargas '!G90</f>
        <v>32407.419</v>
      </c>
      <c r="F19" s="90">
        <f>'Mov. Cargas '!G105</f>
        <v>9785.447</v>
      </c>
      <c r="G19" s="347">
        <f t="shared" si="2"/>
        <v>42192.866</v>
      </c>
      <c r="H19" s="89"/>
      <c r="I19" s="251">
        <f t="shared" si="3"/>
        <v>-0.4152387926880293</v>
      </c>
    </row>
    <row r="20" spans="1:9" ht="20.25">
      <c r="A20" s="353" t="s">
        <v>63</v>
      </c>
      <c r="B20" s="92">
        <v>101374.613</v>
      </c>
      <c r="C20" s="90">
        <v>13176.62</v>
      </c>
      <c r="D20" s="358">
        <f t="shared" si="1"/>
        <v>114551.233</v>
      </c>
      <c r="E20" s="92">
        <f>'Mov. Cargas '!I90</f>
        <v>66005.197</v>
      </c>
      <c r="F20" s="90">
        <f>'Mov. Cargas '!I105</f>
        <v>313.248</v>
      </c>
      <c r="G20" s="348">
        <f t="shared" si="2"/>
        <v>66318.445</v>
      </c>
      <c r="H20" s="93"/>
      <c r="I20" s="251">
        <f t="shared" si="3"/>
        <v>-0.42105865416568666</v>
      </c>
    </row>
    <row r="21" spans="1:11" ht="20.25">
      <c r="A21" s="353" t="s">
        <v>62</v>
      </c>
      <c r="B21" s="92">
        <v>31967.32</v>
      </c>
      <c r="C21" s="90">
        <v>42215.804</v>
      </c>
      <c r="D21" s="358">
        <f t="shared" si="1"/>
        <v>74183.124</v>
      </c>
      <c r="E21" s="92">
        <f>'Mov. Cargas '!K90</f>
        <v>66724.542</v>
      </c>
      <c r="F21" s="90">
        <f>'Mov. Cargas '!K105</f>
        <v>252.48</v>
      </c>
      <c r="G21" s="347">
        <f t="shared" si="2"/>
        <v>66977.022</v>
      </c>
      <c r="H21" s="89"/>
      <c r="I21" s="251">
        <f t="shared" si="3"/>
        <v>-0.09713937094372027</v>
      </c>
      <c r="J21" s="91"/>
      <c r="K21" s="82" t="s">
        <v>12</v>
      </c>
    </row>
    <row r="22" spans="1:9" ht="20.25">
      <c r="A22" s="353" t="s">
        <v>61</v>
      </c>
      <c r="B22" s="256">
        <v>83517.513</v>
      </c>
      <c r="C22" s="90">
        <v>7841.464</v>
      </c>
      <c r="D22" s="358">
        <f t="shared" si="1"/>
        <v>91358.97700000001</v>
      </c>
      <c r="E22" s="256">
        <f>'Mov. Cargas '!M90</f>
        <v>52968.502</v>
      </c>
      <c r="F22" s="90">
        <f>'Mov. Cargas '!M105</f>
        <v>12078.096000000001</v>
      </c>
      <c r="G22" s="349">
        <f t="shared" si="2"/>
        <v>65046.598</v>
      </c>
      <c r="H22" s="89"/>
      <c r="I22" s="229">
        <f t="shared" si="3"/>
        <v>-0.2880108760412238</v>
      </c>
    </row>
    <row r="23" spans="1:11" ht="20.25">
      <c r="A23" s="88" t="s">
        <v>19</v>
      </c>
      <c r="B23" s="87">
        <f aca="true" t="shared" si="4" ref="B23:G23">SUM(B11:B22)</f>
        <v>609384.662</v>
      </c>
      <c r="C23" s="87">
        <f t="shared" si="4"/>
        <v>190097.045</v>
      </c>
      <c r="D23" s="87">
        <f t="shared" si="4"/>
        <v>799481.7069999999</v>
      </c>
      <c r="E23" s="87">
        <f t="shared" si="4"/>
        <v>617661.465</v>
      </c>
      <c r="F23" s="87">
        <f t="shared" si="4"/>
        <v>87718.095</v>
      </c>
      <c r="G23" s="87">
        <f t="shared" si="4"/>
        <v>705379.5599999999</v>
      </c>
      <c r="H23" s="86"/>
      <c r="I23" s="314">
        <f t="shared" si="3"/>
        <v>-0.11770394016032193</v>
      </c>
      <c r="K23" s="85"/>
    </row>
    <row r="24" spans="1:11" ht="20.25">
      <c r="A24" s="330"/>
      <c r="B24" s="331"/>
      <c r="C24" s="331"/>
      <c r="D24" s="331"/>
      <c r="E24" s="331"/>
      <c r="F24" s="331"/>
      <c r="G24" s="331"/>
      <c r="H24" s="331"/>
      <c r="I24" s="332"/>
      <c r="K24" s="85"/>
    </row>
    <row r="25" spans="1:11" ht="20.25">
      <c r="A25" s="330"/>
      <c r="B25" s="331"/>
      <c r="C25" s="533"/>
      <c r="D25" s="331"/>
      <c r="E25" s="331"/>
      <c r="F25" s="533"/>
      <c r="G25" s="331"/>
      <c r="H25" s="534"/>
      <c r="I25" s="535"/>
      <c r="K25" s="85"/>
    </row>
    <row r="26" spans="2:9" ht="20.25">
      <c r="B26" s="536"/>
      <c r="C26" s="610"/>
      <c r="D26" s="610"/>
      <c r="E26" s="610"/>
      <c r="F26" s="610"/>
      <c r="G26" s="610"/>
      <c r="H26" s="537"/>
      <c r="I26" s="538"/>
    </row>
    <row r="27" spans="2:9" ht="20.25">
      <c r="B27" s="539"/>
      <c r="C27" s="539"/>
      <c r="D27" s="539"/>
      <c r="E27" s="539"/>
      <c r="F27" s="539"/>
      <c r="G27" s="539"/>
      <c r="H27" s="540"/>
      <c r="I27" s="541"/>
    </row>
  </sheetData>
  <sheetProtection/>
  <mergeCells count="9">
    <mergeCell ref="C26:D26"/>
    <mergeCell ref="E26:G26"/>
    <mergeCell ref="B9:D9"/>
    <mergeCell ref="A2:I2"/>
    <mergeCell ref="A4:I4"/>
    <mergeCell ref="A5:I5"/>
    <mergeCell ref="A6:I6"/>
    <mergeCell ref="F7:H7"/>
    <mergeCell ref="E9:G9"/>
  </mergeCells>
  <printOptions horizontalCentered="1" vertic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80" r:id="rId2"/>
  <ignoredErrors>
    <ignoredError sqref="G14" formula="1"/>
    <ignoredError sqref="G1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4"/>
  <sheetViews>
    <sheetView showGridLines="0" zoomScalePageLayoutView="0" workbookViewId="0" topLeftCell="A4">
      <selection activeCell="D10" sqref="D10:E10"/>
    </sheetView>
  </sheetViews>
  <sheetFormatPr defaultColWidth="9.140625" defaultRowHeight="12.75"/>
  <cols>
    <col min="1" max="1" width="33.140625" style="0" bestFit="1" customWidth="1"/>
    <col min="2" max="2" width="31.7109375" style="0" customWidth="1"/>
    <col min="3" max="3" width="7.57421875" style="0" customWidth="1"/>
    <col min="4" max="4" width="33.140625" style="0" bestFit="1" customWidth="1"/>
    <col min="5" max="5" width="36.7109375" style="0" customWidth="1"/>
    <col min="6" max="6" width="16.28125" style="0" bestFit="1" customWidth="1"/>
    <col min="7" max="7" width="14.140625" style="0" bestFit="1" customWidth="1"/>
    <col min="8" max="8" width="10.421875" style="0" bestFit="1" customWidth="1"/>
  </cols>
  <sheetData>
    <row r="5" ht="13.5" thickBot="1"/>
    <row r="6" spans="1:5" ht="19.5" thickBot="1">
      <c r="A6" s="621" t="s">
        <v>245</v>
      </c>
      <c r="B6" s="622"/>
      <c r="C6" s="622"/>
      <c r="D6" s="622"/>
      <c r="E6" s="623"/>
    </row>
    <row r="7" spans="1:5" ht="19.5" thickBot="1">
      <c r="A7" s="621" t="s">
        <v>124</v>
      </c>
      <c r="B7" s="622"/>
      <c r="C7" s="622"/>
      <c r="D7" s="622"/>
      <c r="E7" s="623"/>
    </row>
    <row r="8" ht="13.5" thickBot="1"/>
    <row r="9" spans="1:5" ht="21.75" thickBot="1">
      <c r="A9" s="625" t="s">
        <v>285</v>
      </c>
      <c r="B9" s="626"/>
      <c r="C9" s="153"/>
      <c r="D9" s="625" t="s">
        <v>620</v>
      </c>
      <c r="E9" s="626"/>
    </row>
    <row r="10" spans="1:5" ht="18.75">
      <c r="A10" s="624" t="s">
        <v>123</v>
      </c>
      <c r="B10" s="624"/>
      <c r="C10" s="153"/>
      <c r="D10" s="624" t="s">
        <v>123</v>
      </c>
      <c r="E10" s="624"/>
    </row>
    <row r="11" spans="1:6" ht="18.75">
      <c r="A11" s="162" t="s">
        <v>122</v>
      </c>
      <c r="B11" s="233">
        <v>430492.29</v>
      </c>
      <c r="D11" s="162" t="s">
        <v>122</v>
      </c>
      <c r="E11" s="233">
        <f>'Mov. Cargas '!O72</f>
        <v>420100.9</v>
      </c>
      <c r="F11" s="429"/>
    </row>
    <row r="12" spans="1:6" ht="18.75">
      <c r="A12" s="162" t="s">
        <v>121</v>
      </c>
      <c r="B12" s="233">
        <v>12946.65</v>
      </c>
      <c r="D12" s="162" t="s">
        <v>121</v>
      </c>
      <c r="E12" s="233">
        <f>'Mov. Cargas '!O73</f>
        <v>7952.9</v>
      </c>
      <c r="F12" s="428"/>
    </row>
    <row r="13" spans="1:6" ht="18.75">
      <c r="A13" s="162" t="s">
        <v>120</v>
      </c>
      <c r="B13" s="233">
        <f>44823.46+90681.24</f>
        <v>135504.7</v>
      </c>
      <c r="D13" s="162" t="s">
        <v>120</v>
      </c>
      <c r="E13" s="233">
        <f>'Mov. Cargas '!O74+'Mov. Cargas '!O75</f>
        <v>169278.43</v>
      </c>
      <c r="F13" s="428"/>
    </row>
    <row r="14" spans="1:5" ht="18.75">
      <c r="A14" s="162" t="s">
        <v>119</v>
      </c>
      <c r="B14" s="233">
        <v>0</v>
      </c>
      <c r="D14" s="162" t="s">
        <v>119</v>
      </c>
      <c r="E14" s="233">
        <f>'Mov. Cargas '!O78</f>
        <v>0</v>
      </c>
    </row>
    <row r="15" spans="1:5" ht="18.75">
      <c r="A15" s="162" t="s">
        <v>111</v>
      </c>
      <c r="B15" s="235">
        <v>0</v>
      </c>
      <c r="D15" s="162" t="s">
        <v>111</v>
      </c>
      <c r="E15" s="235">
        <v>0</v>
      </c>
    </row>
    <row r="16" spans="1:5" ht="18.75">
      <c r="A16" s="162" t="s">
        <v>118</v>
      </c>
      <c r="B16" s="233">
        <v>30106.28</v>
      </c>
      <c r="D16" s="162" t="s">
        <v>118</v>
      </c>
      <c r="E16" s="233">
        <f>'Mov. Cargas '!O80</f>
        <v>10078.76</v>
      </c>
    </row>
    <row r="17" spans="1:5" ht="18.75">
      <c r="A17" s="162" t="s">
        <v>268</v>
      </c>
      <c r="B17" s="233">
        <v>0</v>
      </c>
      <c r="D17" s="162" t="s">
        <v>268</v>
      </c>
      <c r="E17" s="233">
        <f>'Mov. Cargas '!O83</f>
        <v>0</v>
      </c>
    </row>
    <row r="18" spans="1:5" ht="18.75">
      <c r="A18" s="162" t="s">
        <v>223</v>
      </c>
      <c r="B18" s="233">
        <v>0</v>
      </c>
      <c r="D18" s="162" t="s">
        <v>223</v>
      </c>
      <c r="E18" s="235">
        <v>0</v>
      </c>
    </row>
    <row r="19" spans="1:5" ht="18.75">
      <c r="A19" s="162" t="s">
        <v>157</v>
      </c>
      <c r="B19" s="233">
        <v>334.742</v>
      </c>
      <c r="D19" s="162" t="s">
        <v>157</v>
      </c>
      <c r="E19" s="233">
        <f>'Mov. Cargas '!O76</f>
        <v>351.395</v>
      </c>
    </row>
    <row r="20" spans="1:5" ht="18.75">
      <c r="A20" s="161" t="s">
        <v>117</v>
      </c>
      <c r="B20" s="235">
        <v>0</v>
      </c>
      <c r="D20" s="161" t="s">
        <v>117</v>
      </c>
      <c r="E20" s="235">
        <v>0</v>
      </c>
    </row>
    <row r="21" spans="1:5" ht="18.75">
      <c r="A21" s="161" t="s">
        <v>116</v>
      </c>
      <c r="B21" s="235">
        <v>0</v>
      </c>
      <c r="D21" s="161" t="s">
        <v>234</v>
      </c>
      <c r="E21" s="235">
        <v>0</v>
      </c>
    </row>
    <row r="22" spans="1:5" ht="18.75">
      <c r="A22" s="161" t="s">
        <v>114</v>
      </c>
      <c r="B22" s="233">
        <v>0</v>
      </c>
      <c r="D22" s="161" t="s">
        <v>114</v>
      </c>
      <c r="E22" s="233">
        <v>0</v>
      </c>
    </row>
    <row r="23" spans="1:5" ht="18.75">
      <c r="A23" s="161" t="s">
        <v>168</v>
      </c>
      <c r="B23" s="233">
        <v>0</v>
      </c>
      <c r="D23" s="161" t="s">
        <v>168</v>
      </c>
      <c r="E23" s="233">
        <v>0</v>
      </c>
    </row>
    <row r="24" spans="1:5" ht="18.75">
      <c r="A24" s="161" t="s">
        <v>228</v>
      </c>
      <c r="B24" s="233">
        <v>0</v>
      </c>
      <c r="D24" s="161" t="s">
        <v>228</v>
      </c>
      <c r="E24" s="233">
        <f>'Mov. Cargas '!O82</f>
        <v>0</v>
      </c>
    </row>
    <row r="25" spans="1:5" ht="18.75">
      <c r="A25" s="161" t="s">
        <v>218</v>
      </c>
      <c r="B25" s="235">
        <v>0</v>
      </c>
      <c r="D25" s="161" t="s">
        <v>218</v>
      </c>
      <c r="E25" s="233">
        <f>'Mov. Cargas '!O21</f>
        <v>0</v>
      </c>
    </row>
    <row r="26" spans="1:5" ht="18.75">
      <c r="A26" s="161" t="s">
        <v>147</v>
      </c>
      <c r="B26" s="233">
        <v>0</v>
      </c>
      <c r="D26" s="161" t="s">
        <v>147</v>
      </c>
      <c r="E26" s="233">
        <v>0</v>
      </c>
    </row>
    <row r="27" spans="1:5" ht="18.75">
      <c r="A27" s="161" t="s">
        <v>148</v>
      </c>
      <c r="B27" s="233">
        <v>0</v>
      </c>
      <c r="D27" s="161" t="s">
        <v>148</v>
      </c>
      <c r="E27" s="233">
        <v>0</v>
      </c>
    </row>
    <row r="28" spans="1:5" ht="18.75">
      <c r="A28" s="161" t="s">
        <v>154</v>
      </c>
      <c r="B28" s="235">
        <v>0</v>
      </c>
      <c r="D28" s="161" t="s">
        <v>154</v>
      </c>
      <c r="E28" s="235">
        <v>0</v>
      </c>
    </row>
    <row r="29" spans="1:5" ht="18.75">
      <c r="A29" s="161" t="s">
        <v>500</v>
      </c>
      <c r="B29" s="235">
        <v>0</v>
      </c>
      <c r="D29" s="161" t="s">
        <v>500</v>
      </c>
      <c r="E29" s="235">
        <f>'Mov. Cargas '!M81</f>
        <v>9899.08</v>
      </c>
    </row>
    <row r="30" spans="1:5" ht="18.75">
      <c r="A30" s="161" t="s">
        <v>209</v>
      </c>
      <c r="B30" s="309">
        <v>0</v>
      </c>
      <c r="D30" s="161" t="s">
        <v>209</v>
      </c>
      <c r="E30" s="309">
        <v>0</v>
      </c>
    </row>
    <row r="31" spans="1:6" ht="18.75">
      <c r="A31" s="160" t="s">
        <v>109</v>
      </c>
      <c r="B31" s="163">
        <f>SUM(B11:B30)</f>
        <v>609384.662</v>
      </c>
      <c r="D31" s="160" t="s">
        <v>109</v>
      </c>
      <c r="E31" s="163">
        <f>SUM(E11:E30)</f>
        <v>617661.465</v>
      </c>
      <c r="F31" s="428"/>
    </row>
    <row r="32" spans="1:5" ht="18.75">
      <c r="A32" s="620" t="s">
        <v>115</v>
      </c>
      <c r="B32" s="620"/>
      <c r="D32" s="620" t="s">
        <v>115</v>
      </c>
      <c r="E32" s="620"/>
    </row>
    <row r="33" spans="1:5" ht="18.75">
      <c r="A33" s="162" t="s">
        <v>114</v>
      </c>
      <c r="B33" s="233">
        <v>0</v>
      </c>
      <c r="D33" s="162" t="s">
        <v>114</v>
      </c>
      <c r="E33" s="233">
        <f>'Mov. Cargas '!O32</f>
        <v>0</v>
      </c>
    </row>
    <row r="34" spans="1:5" ht="18.75">
      <c r="A34" s="162" t="s">
        <v>113</v>
      </c>
      <c r="B34" s="233">
        <v>17960.66</v>
      </c>
      <c r="D34" s="162" t="s">
        <v>113</v>
      </c>
      <c r="E34" s="233">
        <f>'Mov. Cargas '!O96</f>
        <v>3307.9399999999996</v>
      </c>
    </row>
    <row r="35" spans="1:5" ht="18.75">
      <c r="A35" s="162" t="s">
        <v>112</v>
      </c>
      <c r="B35" s="233">
        <v>229.03</v>
      </c>
      <c r="D35" s="162" t="s">
        <v>112</v>
      </c>
      <c r="E35" s="233">
        <f>'Mov. Cargas '!O97</f>
        <v>0</v>
      </c>
    </row>
    <row r="36" spans="1:5" ht="18.75">
      <c r="A36" s="162" t="s">
        <v>248</v>
      </c>
      <c r="B36" s="233">
        <v>24353.7</v>
      </c>
      <c r="D36" s="162" t="s">
        <v>248</v>
      </c>
      <c r="E36" s="233">
        <f>'Mov. Cargas '!O99</f>
        <v>46366.97</v>
      </c>
    </row>
    <row r="37" spans="1:8" ht="18.75">
      <c r="A37" s="162" t="s">
        <v>111</v>
      </c>
      <c r="B37" s="233">
        <v>0</v>
      </c>
      <c r="D37" s="162" t="s">
        <v>111</v>
      </c>
      <c r="E37" s="233">
        <f>'Mov. Cargas '!M98</f>
        <v>0</v>
      </c>
      <c r="H37" s="147"/>
    </row>
    <row r="38" spans="1:7" ht="18.75">
      <c r="A38" s="162" t="s">
        <v>158</v>
      </c>
      <c r="B38" s="233">
        <v>0</v>
      </c>
      <c r="D38" s="162" t="s">
        <v>158</v>
      </c>
      <c r="E38" s="233">
        <v>0</v>
      </c>
      <c r="G38" s="147"/>
    </row>
    <row r="39" spans="1:7" ht="18.75">
      <c r="A39" s="162" t="s">
        <v>160</v>
      </c>
      <c r="B39" s="233">
        <v>0</v>
      </c>
      <c r="D39" s="162" t="s">
        <v>160</v>
      </c>
      <c r="E39" s="233">
        <v>0</v>
      </c>
      <c r="G39" s="147"/>
    </row>
    <row r="40" spans="1:5" ht="18.75">
      <c r="A40" s="162" t="s">
        <v>159</v>
      </c>
      <c r="B40" s="233">
        <v>40</v>
      </c>
      <c r="D40" s="162" t="s">
        <v>159</v>
      </c>
      <c r="E40" s="233">
        <f>'Mov. Cargas '!O36</f>
        <v>0</v>
      </c>
    </row>
    <row r="41" spans="1:5" ht="18.75">
      <c r="A41" s="162" t="s">
        <v>157</v>
      </c>
      <c r="B41" s="233">
        <v>3506.995</v>
      </c>
      <c r="D41" s="162" t="s">
        <v>157</v>
      </c>
      <c r="E41" s="233">
        <f>'Mov. Cargas '!O95</f>
        <v>3366.0210000000006</v>
      </c>
    </row>
    <row r="42" spans="1:5" ht="18.75">
      <c r="A42" s="161" t="s">
        <v>110</v>
      </c>
      <c r="B42" s="233">
        <v>0</v>
      </c>
      <c r="D42" s="161" t="s">
        <v>110</v>
      </c>
      <c r="E42" s="233">
        <v>0</v>
      </c>
    </row>
    <row r="43" spans="1:5" ht="18.75">
      <c r="A43" s="161" t="s">
        <v>169</v>
      </c>
      <c r="B43" s="233">
        <v>0</v>
      </c>
      <c r="D43" s="161" t="s">
        <v>169</v>
      </c>
      <c r="E43" s="233">
        <v>0</v>
      </c>
    </row>
    <row r="44" spans="1:5" ht="18.75">
      <c r="A44" s="161" t="s">
        <v>149</v>
      </c>
      <c r="B44" s="233">
        <v>0</v>
      </c>
      <c r="D44" s="161" t="s">
        <v>149</v>
      </c>
      <c r="E44" s="233">
        <v>0</v>
      </c>
    </row>
    <row r="45" spans="1:5" ht="18.75">
      <c r="A45" s="161" t="s">
        <v>272</v>
      </c>
      <c r="B45" s="233">
        <v>3161.37</v>
      </c>
      <c r="D45" s="161" t="s">
        <v>272</v>
      </c>
      <c r="E45" s="233">
        <f>'Mov. Cargas '!I101</f>
        <v>0</v>
      </c>
    </row>
    <row r="46" spans="1:5" ht="18.75">
      <c r="A46" s="161" t="s">
        <v>225</v>
      </c>
      <c r="B46" s="233">
        <v>0</v>
      </c>
      <c r="D46" s="161" t="s">
        <v>225</v>
      </c>
      <c r="E46" s="233">
        <f>'Mov. Cargas '!O100</f>
        <v>0</v>
      </c>
    </row>
    <row r="47" spans="1:5" ht="18.75">
      <c r="A47" s="162" t="s">
        <v>260</v>
      </c>
      <c r="B47" s="233">
        <v>140845.29</v>
      </c>
      <c r="D47" s="162" t="s">
        <v>260</v>
      </c>
      <c r="E47" s="233">
        <f>'Mov. Cargas '!O104</f>
        <v>34677.164000000004</v>
      </c>
    </row>
    <row r="49" spans="1:6" ht="18.75">
      <c r="A49" s="388" t="s">
        <v>109</v>
      </c>
      <c r="B49" s="234">
        <f>SUM(B33:B47)</f>
        <v>190097.045</v>
      </c>
      <c r="D49" s="388" t="s">
        <v>109</v>
      </c>
      <c r="E49" s="234">
        <f>SUM(E33:E47)</f>
        <v>87718.095</v>
      </c>
      <c r="F49" s="159"/>
    </row>
    <row r="50" spans="1:9" ht="21">
      <c r="A50" s="158" t="s">
        <v>108</v>
      </c>
      <c r="B50" s="157">
        <f>B49+B31</f>
        <v>799481.707</v>
      </c>
      <c r="D50" s="158" t="s">
        <v>108</v>
      </c>
      <c r="E50" s="157">
        <f>E49+E31</f>
        <v>705379.5599999999</v>
      </c>
      <c r="F50" s="627" t="s">
        <v>314</v>
      </c>
      <c r="G50" s="628"/>
      <c r="H50" s="428"/>
      <c r="I50" s="253" t="s">
        <v>12</v>
      </c>
    </row>
    <row r="51" spans="1:7" ht="21">
      <c r="A51" s="156" t="s">
        <v>107</v>
      </c>
      <c r="B51" s="155">
        <f>B50/12</f>
        <v>66623.47558333333</v>
      </c>
      <c r="D51" s="156" t="s">
        <v>107</v>
      </c>
      <c r="E51" s="155">
        <f>E50/12</f>
        <v>58781.63</v>
      </c>
      <c r="F51" s="629">
        <f>E51/B51-1</f>
        <v>-0.11770394016032193</v>
      </c>
      <c r="G51" s="630"/>
    </row>
    <row r="52" ht="12.75">
      <c r="E52" s="150"/>
    </row>
    <row r="53" spans="1:7" ht="15">
      <c r="A53" s="631" t="s">
        <v>106</v>
      </c>
      <c r="B53" s="631"/>
      <c r="C53" s="631"/>
      <c r="D53" s="631"/>
      <c r="E53" s="631"/>
      <c r="F53" s="631"/>
      <c r="G53" s="154"/>
    </row>
    <row r="54" ht="13.5" thickBot="1"/>
    <row r="55" spans="1:7" ht="16.5" thickBot="1">
      <c r="A55" s="618" t="s">
        <v>469</v>
      </c>
      <c r="B55" s="619"/>
      <c r="C55" s="153"/>
      <c r="D55" s="618" t="s">
        <v>501</v>
      </c>
      <c r="E55" s="619"/>
      <c r="F55" s="152" t="s">
        <v>105</v>
      </c>
      <c r="G55" s="166"/>
    </row>
    <row r="56" spans="1:10" ht="18.75">
      <c r="A56" s="616">
        <f>'Mov. Cargas '!K107</f>
        <v>66977.022</v>
      </c>
      <c r="B56" s="617"/>
      <c r="C56" s="151"/>
      <c r="D56" s="616">
        <f>'Mov. Cargas '!M107</f>
        <v>65046.598</v>
      </c>
      <c r="E56" s="617"/>
      <c r="F56" s="202">
        <f>D56/A56-1</f>
        <v>-0.028822183225763576</v>
      </c>
      <c r="G56" s="270"/>
      <c r="H56" s="255"/>
      <c r="I56" s="253" t="s">
        <v>12</v>
      </c>
      <c r="J56" s="135" t="s">
        <v>12</v>
      </c>
    </row>
    <row r="57" spans="2:9" ht="18.75" thickBot="1">
      <c r="B57" s="169"/>
      <c r="G57" s="96"/>
      <c r="I57" s="253" t="s">
        <v>12</v>
      </c>
    </row>
    <row r="58" spans="1:8" ht="16.5" thickBot="1">
      <c r="A58" s="618" t="s">
        <v>502</v>
      </c>
      <c r="B58" s="619"/>
      <c r="C58" s="153"/>
      <c r="D58" s="618" t="s">
        <v>501</v>
      </c>
      <c r="E58" s="619"/>
      <c r="F58" s="152" t="s">
        <v>105</v>
      </c>
      <c r="H58" t="s">
        <v>12</v>
      </c>
    </row>
    <row r="59" spans="1:8" ht="18.75">
      <c r="A59" s="616">
        <v>91358.977</v>
      </c>
      <c r="B59" s="617"/>
      <c r="C59" s="151"/>
      <c r="D59" s="616">
        <f>D56</f>
        <v>65046.598</v>
      </c>
      <c r="E59" s="617"/>
      <c r="F59" s="202">
        <f>D59/A59-1</f>
        <v>-0.28801087604122366</v>
      </c>
      <c r="G59" s="96"/>
      <c r="H59" s="253"/>
    </row>
    <row r="60" spans="6:7" ht="13.5" thickBot="1">
      <c r="F60" s="150"/>
      <c r="G60" s="271"/>
    </row>
    <row r="61" spans="1:5" ht="15.75">
      <c r="A61" s="618" t="s">
        <v>503</v>
      </c>
      <c r="B61" s="619"/>
      <c r="E61" s="219"/>
    </row>
    <row r="62" spans="1:5" ht="18.75">
      <c r="A62" s="616">
        <f>'médias móveis cargas'!B70</f>
        <v>705379.5599999999</v>
      </c>
      <c r="B62" s="617"/>
      <c r="E62" s="252"/>
    </row>
    <row r="64" spans="1:2" ht="15">
      <c r="A64" s="149"/>
      <c r="B64" s="148"/>
    </row>
  </sheetData>
  <sheetProtection/>
  <mergeCells count="21">
    <mergeCell ref="F50:G50"/>
    <mergeCell ref="A61:B61"/>
    <mergeCell ref="F51:G51"/>
    <mergeCell ref="D56:E56"/>
    <mergeCell ref="D59:E59"/>
    <mergeCell ref="A53:F53"/>
    <mergeCell ref="A6:E6"/>
    <mergeCell ref="A55:B55"/>
    <mergeCell ref="D55:E55"/>
    <mergeCell ref="A7:E7"/>
    <mergeCell ref="A10:B10"/>
    <mergeCell ref="A9:B9"/>
    <mergeCell ref="A32:B32"/>
    <mergeCell ref="D10:E10"/>
    <mergeCell ref="D9:E9"/>
    <mergeCell ref="A62:B62"/>
    <mergeCell ref="A58:B58"/>
    <mergeCell ref="A59:B59"/>
    <mergeCell ref="D32:E32"/>
    <mergeCell ref="D58:E58"/>
    <mergeCell ref="A56:B56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58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0"/>
  <sheetViews>
    <sheetView showGridLines="0" zoomScalePageLayoutView="0" workbookViewId="0" topLeftCell="B13">
      <selection activeCell="N44" sqref="N44"/>
    </sheetView>
  </sheetViews>
  <sheetFormatPr defaultColWidth="9.140625" defaultRowHeight="12.75"/>
  <cols>
    <col min="1" max="1" width="36.140625" style="75" customWidth="1"/>
    <col min="2" max="2" width="19.7109375" style="75" customWidth="1"/>
    <col min="3" max="3" width="19.7109375" style="405" customWidth="1"/>
    <col min="4" max="13" width="19.7109375" style="75" customWidth="1"/>
    <col min="14" max="14" width="21.28125" style="75" customWidth="1"/>
    <col min="15" max="15" width="9.140625" style="75" customWidth="1"/>
    <col min="16" max="16" width="12.8515625" style="75" customWidth="1"/>
    <col min="17" max="16384" width="9.140625" style="75" customWidth="1"/>
  </cols>
  <sheetData>
    <row r="2" spans="1:13" ht="12.75">
      <c r="A2"/>
      <c r="B2"/>
      <c r="C2" s="253"/>
      <c r="D2"/>
      <c r="E2"/>
      <c r="F2"/>
      <c r="G2"/>
      <c r="H2"/>
      <c r="I2"/>
      <c r="J2"/>
      <c r="K2"/>
      <c r="L2"/>
      <c r="M2"/>
    </row>
    <row r="3" spans="1:13" ht="12.75">
      <c r="A3"/>
      <c r="B3"/>
      <c r="C3" s="253"/>
      <c r="D3"/>
      <c r="E3"/>
      <c r="F3"/>
      <c r="G3"/>
      <c r="H3"/>
      <c r="I3"/>
      <c r="J3"/>
      <c r="K3"/>
      <c r="L3"/>
      <c r="M3"/>
    </row>
    <row r="4" spans="1:13" ht="12.75">
      <c r="A4"/>
      <c r="B4"/>
      <c r="C4" s="253"/>
      <c r="D4"/>
      <c r="E4"/>
      <c r="F4"/>
      <c r="G4"/>
      <c r="H4"/>
      <c r="I4"/>
      <c r="J4"/>
      <c r="K4"/>
      <c r="L4"/>
      <c r="M4"/>
    </row>
    <row r="5" spans="1:13" ht="12.75">
      <c r="A5"/>
      <c r="B5"/>
      <c r="C5" s="253"/>
      <c r="D5"/>
      <c r="E5"/>
      <c r="F5"/>
      <c r="G5"/>
      <c r="H5"/>
      <c r="I5"/>
      <c r="J5"/>
      <c r="K5"/>
      <c r="L5"/>
      <c r="M5"/>
    </row>
    <row r="6" spans="1:15" ht="12.75">
      <c r="A6" s="391"/>
      <c r="B6" s="391"/>
      <c r="C6" s="482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</row>
    <row r="7" spans="1:15" ht="12.75">
      <c r="A7" s="391"/>
      <c r="B7" s="391"/>
      <c r="C7" s="482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</row>
    <row r="9" spans="1:14" ht="18">
      <c r="A9" s="632" t="s">
        <v>286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</row>
    <row r="10" spans="1:14" s="80" customFormat="1" ht="12.75">
      <c r="A10" s="81" t="s">
        <v>60</v>
      </c>
      <c r="B10" s="81" t="s">
        <v>16</v>
      </c>
      <c r="C10" s="414" t="s">
        <v>17</v>
      </c>
      <c r="D10" s="81" t="s">
        <v>18</v>
      </c>
      <c r="E10" s="81" t="s">
        <v>59</v>
      </c>
      <c r="F10" s="81" t="s">
        <v>58</v>
      </c>
      <c r="G10" s="81" t="s">
        <v>57</v>
      </c>
      <c r="H10" s="81" t="s">
        <v>36</v>
      </c>
      <c r="I10" s="81" t="s">
        <v>37</v>
      </c>
      <c r="J10" s="81" t="s">
        <v>38</v>
      </c>
      <c r="K10" s="81" t="s">
        <v>39</v>
      </c>
      <c r="L10" s="81" t="s">
        <v>40</v>
      </c>
      <c r="M10" s="81" t="s">
        <v>41</v>
      </c>
      <c r="N10" s="81" t="s">
        <v>56</v>
      </c>
    </row>
    <row r="11" spans="1:14" ht="18">
      <c r="A11" s="79" t="s">
        <v>55</v>
      </c>
      <c r="B11" s="407">
        <f aca="true" t="shared" si="0" ref="B11:L11">B12+B13+B14</f>
        <v>769035.83</v>
      </c>
      <c r="C11" s="483">
        <f t="shared" si="0"/>
        <v>707550.49</v>
      </c>
      <c r="D11" s="407">
        <f t="shared" si="0"/>
        <v>666508.6</v>
      </c>
      <c r="E11" s="407">
        <f t="shared" si="0"/>
        <v>826309.6499999999</v>
      </c>
      <c r="F11" s="407">
        <f t="shared" si="0"/>
        <v>766006.14</v>
      </c>
      <c r="G11" s="407">
        <f t="shared" si="0"/>
        <v>711125.88</v>
      </c>
      <c r="H11" s="407">
        <f t="shared" si="0"/>
        <v>730849.14</v>
      </c>
      <c r="I11" s="407">
        <f t="shared" si="0"/>
        <v>1229689.3699999999</v>
      </c>
      <c r="J11" s="407">
        <f t="shared" si="0"/>
        <v>1072596.93</v>
      </c>
      <c r="K11" s="407">
        <f t="shared" si="0"/>
        <v>966312.91</v>
      </c>
      <c r="L11" s="407">
        <f t="shared" si="0"/>
        <v>993853.53</v>
      </c>
      <c r="M11" s="407">
        <f>M12+M13</f>
        <v>1312380.24</v>
      </c>
      <c r="N11" s="422">
        <f>SUM(B11:M11)</f>
        <v>10752218.709999999</v>
      </c>
    </row>
    <row r="12" spans="1:14" ht="18">
      <c r="A12" s="414" t="s">
        <v>277</v>
      </c>
      <c r="B12" s="77">
        <f>16878.55+29154.2</f>
        <v>46032.75</v>
      </c>
      <c r="C12" s="419">
        <f>17000+51076.95</f>
        <v>68076.95</v>
      </c>
      <c r="D12" s="77">
        <f>21200+49072.35</f>
        <v>70272.35</v>
      </c>
      <c r="E12" s="77">
        <f>18500+83901.95</f>
        <v>102401.95</v>
      </c>
      <c r="F12" s="77">
        <f>24500+28328.5</f>
        <v>52828.5</v>
      </c>
      <c r="G12" s="77">
        <f>35500.2+19700</f>
        <v>55200.2</v>
      </c>
      <c r="H12" s="77">
        <f>2895.5+40801.8</f>
        <v>43697.3</v>
      </c>
      <c r="I12" s="77">
        <f>53613.72+4191</f>
        <v>57804.72</v>
      </c>
      <c r="J12" s="77">
        <v>77935.95</v>
      </c>
      <c r="K12" s="77">
        <f>966312.91-894623.11</f>
        <v>71689.80000000005</v>
      </c>
      <c r="L12" s="77">
        <f>9016.26+59549.04</f>
        <v>68565.3</v>
      </c>
      <c r="M12" s="77">
        <f>1312380.24-M13</f>
        <v>133691.75</v>
      </c>
      <c r="N12" s="258">
        <f>SUM(B12:M12)</f>
        <v>848197.52</v>
      </c>
    </row>
    <row r="13" spans="1:14" ht="18">
      <c r="A13" s="415" t="s">
        <v>265</v>
      </c>
      <c r="B13" s="77">
        <v>723003.08</v>
      </c>
      <c r="C13" s="419">
        <v>639473.54</v>
      </c>
      <c r="D13" s="77">
        <v>596236.25</v>
      </c>
      <c r="E13" s="77">
        <v>723907.7</v>
      </c>
      <c r="F13" s="77">
        <v>713177.64</v>
      </c>
      <c r="G13" s="77">
        <v>655925.68</v>
      </c>
      <c r="H13" s="77">
        <v>687151.84</v>
      </c>
      <c r="I13" s="77">
        <v>1171884.65</v>
      </c>
      <c r="J13" s="77">
        <v>994660.98</v>
      </c>
      <c r="K13" s="77">
        <v>894623.11</v>
      </c>
      <c r="L13" s="77">
        <v>925288.23</v>
      </c>
      <c r="M13" s="77">
        <v>1178688.49</v>
      </c>
      <c r="N13" s="258">
        <f>SUM(B13:M13)</f>
        <v>9904021.190000001</v>
      </c>
    </row>
    <row r="14" spans="1:16" ht="18">
      <c r="A14" s="416" t="s">
        <v>266</v>
      </c>
      <c r="B14" s="77">
        <v>0</v>
      </c>
      <c r="C14" s="419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/>
      <c r="L14" s="77"/>
      <c r="M14" s="77"/>
      <c r="N14" s="258">
        <f aca="true" t="shared" si="1" ref="N14:N20">SUM(B14:M14)</f>
        <v>0</v>
      </c>
      <c r="P14" s="199"/>
    </row>
    <row r="15" spans="1:14" ht="18">
      <c r="A15" s="79" t="s">
        <v>54</v>
      </c>
      <c r="B15" s="408">
        <v>150763.99</v>
      </c>
      <c r="C15" s="419">
        <v>212464.83</v>
      </c>
      <c r="D15" s="408">
        <v>193162.43</v>
      </c>
      <c r="E15" s="408">
        <v>318492.41</v>
      </c>
      <c r="F15" s="408">
        <v>145125.16</v>
      </c>
      <c r="G15" s="408">
        <v>154922</v>
      </c>
      <c r="H15" s="408">
        <v>138060.83</v>
      </c>
      <c r="I15" s="408">
        <v>220194.01</v>
      </c>
      <c r="J15" s="408">
        <v>226510.21</v>
      </c>
      <c r="K15" s="408">
        <v>305476.11</v>
      </c>
      <c r="L15" s="408">
        <f>265860.46</f>
        <v>265860.46</v>
      </c>
      <c r="M15" s="408">
        <v>282261.31</v>
      </c>
      <c r="N15" s="422">
        <f>SUM(B15:M15)</f>
        <v>2613293.75</v>
      </c>
    </row>
    <row r="16" spans="1:14" ht="18">
      <c r="A16" s="416" t="s">
        <v>53</v>
      </c>
      <c r="B16" s="408"/>
      <c r="C16" s="419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258">
        <f t="shared" si="1"/>
        <v>0</v>
      </c>
    </row>
    <row r="17" spans="1:14" ht="18">
      <c r="A17" s="79" t="s">
        <v>52</v>
      </c>
      <c r="B17" s="408">
        <v>321140.17</v>
      </c>
      <c r="C17" s="419">
        <v>425882.23</v>
      </c>
      <c r="D17" s="408">
        <v>493345.97</v>
      </c>
      <c r="E17" s="408">
        <v>783255.84</v>
      </c>
      <c r="F17" s="408">
        <v>261910.09</v>
      </c>
      <c r="G17" s="408">
        <v>336710.14</v>
      </c>
      <c r="H17" s="408">
        <v>219090.32</v>
      </c>
      <c r="I17" s="408">
        <v>408499.87</v>
      </c>
      <c r="J17" s="408">
        <v>315525.73</v>
      </c>
      <c r="K17" s="408">
        <v>549520.89</v>
      </c>
      <c r="L17" s="408">
        <v>510055.13</v>
      </c>
      <c r="M17" s="408">
        <v>482325.82</v>
      </c>
      <c r="N17" s="422">
        <f>SUM(B17:M17)</f>
        <v>5107262.2</v>
      </c>
    </row>
    <row r="18" spans="1:14" ht="18">
      <c r="A18" s="416" t="s">
        <v>51</v>
      </c>
      <c r="B18" s="408"/>
      <c r="C18" s="419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258">
        <f t="shared" si="1"/>
        <v>0</v>
      </c>
    </row>
    <row r="19" spans="1:14" ht="18">
      <c r="A19" s="79" t="s">
        <v>275</v>
      </c>
      <c r="B19" s="408">
        <v>700751.72</v>
      </c>
      <c r="C19" s="419">
        <v>318951.68</v>
      </c>
      <c r="D19" s="408">
        <v>258952.67</v>
      </c>
      <c r="E19" s="408">
        <v>215638.93</v>
      </c>
      <c r="F19" s="408">
        <v>191380.12</v>
      </c>
      <c r="G19" s="408">
        <v>253904.9</v>
      </c>
      <c r="H19" s="408">
        <f>19739.84+257922.73-22500-4950</f>
        <v>250212.57</v>
      </c>
      <c r="I19" s="408">
        <v>285135.77</v>
      </c>
      <c r="J19" s="408">
        <v>190253.78</v>
      </c>
      <c r="K19" s="408">
        <v>117747.82</v>
      </c>
      <c r="L19" s="408">
        <v>132442.48</v>
      </c>
      <c r="M19" s="408">
        <v>204067.45</v>
      </c>
      <c r="N19" s="422">
        <f>SUM(B19:M19)</f>
        <v>3119439.889999999</v>
      </c>
    </row>
    <row r="20" spans="1:14" ht="18">
      <c r="A20" s="414" t="s">
        <v>164</v>
      </c>
      <c r="B20" s="408"/>
      <c r="C20" s="419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258">
        <f t="shared" si="1"/>
        <v>0</v>
      </c>
    </row>
    <row r="21" spans="1:14" ht="18">
      <c r="A21" s="409" t="s">
        <v>398</v>
      </c>
      <c r="B21" s="408">
        <f aca="true" t="shared" si="2" ref="B21:K21">B22+B23</f>
        <v>165</v>
      </c>
      <c r="C21" s="419">
        <f t="shared" si="2"/>
        <v>165</v>
      </c>
      <c r="D21" s="408">
        <f t="shared" si="2"/>
        <v>600</v>
      </c>
      <c r="E21" s="408">
        <f t="shared" si="2"/>
        <v>180</v>
      </c>
      <c r="F21" s="408">
        <f t="shared" si="2"/>
        <v>225</v>
      </c>
      <c r="G21" s="408">
        <f t="shared" si="2"/>
        <v>495</v>
      </c>
      <c r="H21" s="408">
        <f t="shared" si="2"/>
        <v>4069.81</v>
      </c>
      <c r="I21" s="408">
        <f t="shared" si="2"/>
        <v>16218.900000000001</v>
      </c>
      <c r="J21" s="408">
        <f t="shared" si="2"/>
        <v>11409.39</v>
      </c>
      <c r="K21" s="408">
        <f t="shared" si="2"/>
        <v>10097.75</v>
      </c>
      <c r="L21" s="408">
        <f>L22+L23</f>
        <v>21326.18</v>
      </c>
      <c r="M21" s="408">
        <f>M22+M23</f>
        <v>5953.36</v>
      </c>
      <c r="N21" s="422">
        <f aca="true" t="shared" si="3" ref="N21:N28">SUM(B21:M21)</f>
        <v>70905.39</v>
      </c>
    </row>
    <row r="22" spans="1:14" ht="15">
      <c r="A22" s="414" t="s">
        <v>48</v>
      </c>
      <c r="B22" s="419">
        <v>165</v>
      </c>
      <c r="C22" s="419">
        <v>165</v>
      </c>
      <c r="D22" s="419">
        <v>600</v>
      </c>
      <c r="E22" s="419">
        <v>180</v>
      </c>
      <c r="F22" s="419">
        <v>225</v>
      </c>
      <c r="G22" s="419">
        <v>495</v>
      </c>
      <c r="H22" s="419">
        <v>227.7</v>
      </c>
      <c r="I22" s="419">
        <v>434.7</v>
      </c>
      <c r="J22" s="419">
        <v>1100.37</v>
      </c>
      <c r="K22" s="419">
        <v>332.9</v>
      </c>
      <c r="L22" s="419">
        <v>269.1</v>
      </c>
      <c r="M22" s="77">
        <v>455.4</v>
      </c>
      <c r="N22" s="424">
        <f t="shared" si="3"/>
        <v>4650.169999999999</v>
      </c>
    </row>
    <row r="23" spans="1:14" ht="18">
      <c r="A23" s="415" t="s">
        <v>399</v>
      </c>
      <c r="B23" s="472">
        <v>0</v>
      </c>
      <c r="C23" s="473">
        <v>0</v>
      </c>
      <c r="D23" s="474">
        <v>0</v>
      </c>
      <c r="E23" s="474">
        <v>0</v>
      </c>
      <c r="F23" s="474">
        <v>0</v>
      </c>
      <c r="G23" s="474">
        <v>0</v>
      </c>
      <c r="H23" s="474">
        <v>3842.11</v>
      </c>
      <c r="I23" s="474">
        <v>15784.2</v>
      </c>
      <c r="J23" s="474">
        <v>10309.02</v>
      </c>
      <c r="K23" s="474">
        <v>9764.85</v>
      </c>
      <c r="L23" s="474">
        <v>21057.08</v>
      </c>
      <c r="M23" s="474">
        <v>5497.96</v>
      </c>
      <c r="N23" s="475">
        <f t="shared" si="3"/>
        <v>66255.22</v>
      </c>
    </row>
    <row r="24" spans="1:14" ht="15.75">
      <c r="A24" s="471" t="s">
        <v>418</v>
      </c>
      <c r="B24" s="480">
        <f aca="true" t="shared" si="4" ref="B24:I24">B25</f>
        <v>0</v>
      </c>
      <c r="C24" s="484">
        <f t="shared" si="4"/>
        <v>0</v>
      </c>
      <c r="D24" s="480">
        <f t="shared" si="4"/>
        <v>0</v>
      </c>
      <c r="E24" s="480">
        <f t="shared" si="4"/>
        <v>0</v>
      </c>
      <c r="F24" s="480">
        <f t="shared" si="4"/>
        <v>0</v>
      </c>
      <c r="G24" s="480">
        <f t="shared" si="4"/>
        <v>0</v>
      </c>
      <c r="H24" s="480">
        <f t="shared" si="4"/>
        <v>0</v>
      </c>
      <c r="I24" s="480">
        <f t="shared" si="4"/>
        <v>0</v>
      </c>
      <c r="J24" s="480">
        <f>J25</f>
        <v>0</v>
      </c>
      <c r="K24" s="480">
        <f>K25</f>
        <v>0</v>
      </c>
      <c r="L24" s="396"/>
      <c r="M24" s="396"/>
      <c r="N24" s="498">
        <f t="shared" si="3"/>
        <v>0</v>
      </c>
    </row>
    <row r="25" spans="1:14" ht="18">
      <c r="A25" s="415" t="s">
        <v>470</v>
      </c>
      <c r="B25" s="476">
        <v>0</v>
      </c>
      <c r="C25" s="476">
        <v>0</v>
      </c>
      <c r="D25" s="477">
        <v>0</v>
      </c>
      <c r="E25" s="477">
        <v>0</v>
      </c>
      <c r="F25" s="477">
        <v>0</v>
      </c>
      <c r="G25" s="477">
        <v>0</v>
      </c>
      <c r="H25" s="477">
        <v>0</v>
      </c>
      <c r="I25" s="477">
        <v>0</v>
      </c>
      <c r="J25" s="477">
        <v>0</v>
      </c>
      <c r="K25" s="477">
        <v>0</v>
      </c>
      <c r="L25" s="476"/>
      <c r="M25" s="478"/>
      <c r="N25" s="479">
        <f t="shared" si="3"/>
        <v>0</v>
      </c>
    </row>
    <row r="26" spans="1:14" ht="15.75">
      <c r="A26" s="409" t="s">
        <v>419</v>
      </c>
      <c r="B26" s="481">
        <f aca="true" t="shared" si="5" ref="B26:I26">B27+B28</f>
        <v>2035</v>
      </c>
      <c r="C26" s="481">
        <f t="shared" si="5"/>
        <v>5550</v>
      </c>
      <c r="D26" s="481">
        <f t="shared" si="5"/>
        <v>4500</v>
      </c>
      <c r="E26" s="481">
        <f t="shared" si="5"/>
        <v>7200</v>
      </c>
      <c r="F26" s="481">
        <f t="shared" si="5"/>
        <v>6900</v>
      </c>
      <c r="G26" s="481">
        <f t="shared" si="5"/>
        <v>7800</v>
      </c>
      <c r="H26" s="481">
        <f t="shared" si="5"/>
        <v>4950</v>
      </c>
      <c r="I26" s="481">
        <f t="shared" si="5"/>
        <v>20516.83</v>
      </c>
      <c r="J26" s="481">
        <f>J27+J28</f>
        <v>21768.64</v>
      </c>
      <c r="K26" s="481">
        <f>K27+K28</f>
        <v>17233.22</v>
      </c>
      <c r="L26" s="481">
        <f>L27+L28</f>
        <v>21989.26</v>
      </c>
      <c r="M26" s="481">
        <f>M27+M28</f>
        <v>19029.16</v>
      </c>
      <c r="N26" s="488">
        <f t="shared" si="3"/>
        <v>139472.11</v>
      </c>
    </row>
    <row r="27" spans="1:14" ht="18">
      <c r="A27" s="415" t="s">
        <v>240</v>
      </c>
      <c r="B27" s="420">
        <v>0</v>
      </c>
      <c r="C27" s="420">
        <v>0</v>
      </c>
      <c r="D27" s="420">
        <v>0</v>
      </c>
      <c r="E27" s="420">
        <v>0</v>
      </c>
      <c r="F27" s="420">
        <v>0</v>
      </c>
      <c r="G27" s="420">
        <v>0</v>
      </c>
      <c r="H27" s="420">
        <v>0</v>
      </c>
      <c r="I27" s="420">
        <v>0</v>
      </c>
      <c r="J27" s="420">
        <v>0</v>
      </c>
      <c r="K27" s="420">
        <v>0</v>
      </c>
      <c r="L27" s="420">
        <v>0</v>
      </c>
      <c r="M27" s="392">
        <v>0</v>
      </c>
      <c r="N27" s="258">
        <f t="shared" si="3"/>
        <v>0</v>
      </c>
    </row>
    <row r="28" spans="1:14" ht="15">
      <c r="A28" s="415" t="s">
        <v>420</v>
      </c>
      <c r="B28" s="421">
        <v>2035</v>
      </c>
      <c r="C28" s="421">
        <v>5550</v>
      </c>
      <c r="D28" s="421">
        <v>4500</v>
      </c>
      <c r="E28" s="421">
        <v>7200</v>
      </c>
      <c r="F28" s="421">
        <v>6900</v>
      </c>
      <c r="G28" s="421">
        <v>7800</v>
      </c>
      <c r="H28" s="421">
        <v>4950</v>
      </c>
      <c r="I28" s="421">
        <v>20516.83</v>
      </c>
      <c r="J28" s="421">
        <v>21768.64</v>
      </c>
      <c r="K28" s="421">
        <v>17233.22</v>
      </c>
      <c r="L28" s="421">
        <v>21989.26</v>
      </c>
      <c r="M28" s="421">
        <v>19029.16</v>
      </c>
      <c r="N28" s="424">
        <f t="shared" si="3"/>
        <v>139472.11</v>
      </c>
    </row>
    <row r="29" spans="1:14" ht="15">
      <c r="A29" s="409" t="s">
        <v>471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4"/>
    </row>
    <row r="30" spans="1:14" ht="15.75">
      <c r="A30" s="415" t="s">
        <v>347</v>
      </c>
      <c r="B30" s="421">
        <v>0</v>
      </c>
      <c r="C30" s="421">
        <v>0</v>
      </c>
      <c r="D30" s="481">
        <v>22500</v>
      </c>
      <c r="E30" s="481">
        <v>22500</v>
      </c>
      <c r="F30" s="481">
        <v>22500</v>
      </c>
      <c r="G30" s="481">
        <v>22500</v>
      </c>
      <c r="H30" s="481">
        <v>22500</v>
      </c>
      <c r="I30" s="481">
        <v>22500</v>
      </c>
      <c r="J30" s="481">
        <v>22500</v>
      </c>
      <c r="K30" s="481">
        <v>22500</v>
      </c>
      <c r="L30" s="481">
        <v>22500</v>
      </c>
      <c r="M30" s="481">
        <v>22500</v>
      </c>
      <c r="N30" s="488">
        <f>SUM(B30:M30)</f>
        <v>225000</v>
      </c>
    </row>
    <row r="31" spans="1:14" ht="18">
      <c r="A31" s="79" t="s">
        <v>165</v>
      </c>
      <c r="B31" s="393">
        <f>B11+B15+B17+B19+B21+B26</f>
        <v>1943891.71</v>
      </c>
      <c r="C31" s="393">
        <f>C11+C15+C17+C19+C21+C26</f>
        <v>1670564.2299999997</v>
      </c>
      <c r="D31" s="393">
        <f>D11+D15+D17+D19+D21+D24+D26+D30</f>
        <v>1639569.67</v>
      </c>
      <c r="E31" s="393">
        <f>E11+E15+E17+E19+E21+E24+E26+E30</f>
        <v>2173576.83</v>
      </c>
      <c r="F31" s="393">
        <f>F11+F15+F17+F19+F21+F24+F26+F30</f>
        <v>1394046.5100000002</v>
      </c>
      <c r="G31" s="393">
        <f>G11+G15+G17+G19+G21+G24+G26+G30</f>
        <v>1487457.92</v>
      </c>
      <c r="H31" s="393">
        <f>H11+H15+H17+H19+H21+H24+H26+H30</f>
        <v>1369732.6700000002</v>
      </c>
      <c r="I31" s="393">
        <f>I11+I15+I17+I19+I24+I26+I21+I30</f>
        <v>2202754.75</v>
      </c>
      <c r="J31" s="393">
        <f>J11+J15+J17+J19+J21+J24+J26+J30</f>
        <v>1860564.6799999997</v>
      </c>
      <c r="K31" s="393">
        <f>K11+K15+K17+K19+K21+K24+K26+K30</f>
        <v>1988888.7000000002</v>
      </c>
      <c r="L31" s="393">
        <f>L11+L15+L17+L19+L21+L26+L30</f>
        <v>1968027.04</v>
      </c>
      <c r="M31" s="393">
        <f>M11+M15+M17+M19+M21+M26+M30</f>
        <v>2328517.3400000003</v>
      </c>
      <c r="N31" s="394">
        <f>N11+N15+N17+N19+N21+N24+N26+N30</f>
        <v>22027592.05</v>
      </c>
    </row>
    <row r="32" spans="1:14" ht="18">
      <c r="A32" s="413" t="s">
        <v>213</v>
      </c>
      <c r="B32" s="411">
        <f aca="true" t="shared" si="6" ref="B32:G32">B31*5%</f>
        <v>97194.5855</v>
      </c>
      <c r="C32" s="485">
        <f t="shared" si="6"/>
        <v>83528.21149999999</v>
      </c>
      <c r="D32" s="411">
        <f t="shared" si="6"/>
        <v>81978.4835</v>
      </c>
      <c r="E32" s="411">
        <f t="shared" si="6"/>
        <v>108678.84150000001</v>
      </c>
      <c r="F32" s="411">
        <f t="shared" si="6"/>
        <v>69702.32550000002</v>
      </c>
      <c r="G32" s="411">
        <f t="shared" si="6"/>
        <v>74372.896</v>
      </c>
      <c r="H32" s="411">
        <f aca="true" t="shared" si="7" ref="H32:M32">H31*5%</f>
        <v>68486.63350000001</v>
      </c>
      <c r="I32" s="411">
        <f t="shared" si="7"/>
        <v>110137.7375</v>
      </c>
      <c r="J32" s="411">
        <f>J31*5%</f>
        <v>93028.234</v>
      </c>
      <c r="K32" s="411">
        <f>K31*5%</f>
        <v>99444.43500000001</v>
      </c>
      <c r="L32" s="411">
        <f t="shared" si="7"/>
        <v>98401.35200000001</v>
      </c>
      <c r="M32" s="411">
        <f t="shared" si="7"/>
        <v>116425.86700000003</v>
      </c>
      <c r="N32" s="412">
        <f aca="true" t="shared" si="8" ref="N32:N38">SUM(B32:M32)</f>
        <v>1101379.6025000003</v>
      </c>
    </row>
    <row r="33" spans="1:14" ht="18">
      <c r="A33" s="409" t="s">
        <v>47</v>
      </c>
      <c r="B33" s="408">
        <f>B34+B35+B36+B37+B38+B39</f>
        <v>38743.65</v>
      </c>
      <c r="C33" s="408">
        <f>C34+C35+C36+C37+C38+C39</f>
        <v>28003.1</v>
      </c>
      <c r="D33" s="408">
        <f>D34+D35+D36+D37+D38+D39</f>
        <v>21113.74</v>
      </c>
      <c r="E33" s="408">
        <f>E34+E35+E36+E37+E38+E39</f>
        <v>22696.52</v>
      </c>
      <c r="F33" s="463">
        <f>F34+F39</f>
        <v>10550.83</v>
      </c>
      <c r="G33" s="408">
        <f aca="true" t="shared" si="9" ref="G33:M33">G34+G35+G36+G37+G38+G39</f>
        <v>18505.69</v>
      </c>
      <c r="H33" s="408">
        <f t="shared" si="9"/>
        <v>19027.91</v>
      </c>
      <c r="I33" s="408">
        <f t="shared" si="9"/>
        <v>27307.74</v>
      </c>
      <c r="J33" s="408">
        <f t="shared" si="9"/>
        <v>21559.309999999998</v>
      </c>
      <c r="K33" s="408">
        <f t="shared" si="9"/>
        <v>21800.58</v>
      </c>
      <c r="L33" s="408">
        <f t="shared" si="9"/>
        <v>21460.25</v>
      </c>
      <c r="M33" s="408">
        <f t="shared" si="9"/>
        <v>34690.51</v>
      </c>
      <c r="N33" s="422">
        <f>SUM(B33:M33)</f>
        <v>285459.83</v>
      </c>
    </row>
    <row r="34" spans="1:14" ht="18">
      <c r="A34" s="414" t="s">
        <v>50</v>
      </c>
      <c r="B34" s="77">
        <v>22953.76</v>
      </c>
      <c r="C34" s="419">
        <v>12096.19</v>
      </c>
      <c r="D34" s="77">
        <v>3619.72</v>
      </c>
      <c r="E34" s="77">
        <v>10474.54</v>
      </c>
      <c r="F34" s="419">
        <v>10480.83</v>
      </c>
      <c r="G34" s="77">
        <v>7610.72</v>
      </c>
      <c r="H34" s="77">
        <v>7139.56</v>
      </c>
      <c r="I34" s="77">
        <v>18292.82</v>
      </c>
      <c r="J34" s="77">
        <v>12562.47</v>
      </c>
      <c r="K34" s="77">
        <v>12874.16</v>
      </c>
      <c r="L34" s="77">
        <v>8600.44</v>
      </c>
      <c r="M34" s="77">
        <v>21854.47</v>
      </c>
      <c r="N34" s="258">
        <f>SUM(B34:M34)</f>
        <v>148559.68</v>
      </c>
    </row>
    <row r="35" spans="1:14" ht="18">
      <c r="A35" s="414" t="s">
        <v>49</v>
      </c>
      <c r="B35" s="77">
        <v>12762.13</v>
      </c>
      <c r="C35" s="419">
        <v>15906.91</v>
      </c>
      <c r="D35" s="77">
        <v>17284.02</v>
      </c>
      <c r="E35" s="77">
        <v>11322.73</v>
      </c>
      <c r="F35" s="77">
        <v>0</v>
      </c>
      <c r="G35" s="77">
        <v>10299.97</v>
      </c>
      <c r="H35" s="77">
        <v>11336.35</v>
      </c>
      <c r="I35" s="77">
        <v>8352.02</v>
      </c>
      <c r="J35" s="77">
        <v>8776.24</v>
      </c>
      <c r="K35" s="77">
        <v>8098.42</v>
      </c>
      <c r="L35" s="77">
        <v>12639.01</v>
      </c>
      <c r="M35" s="77">
        <v>11660.3</v>
      </c>
      <c r="N35" s="258">
        <f>SUM(B35:M35)</f>
        <v>128438.1</v>
      </c>
    </row>
    <row r="36" spans="1:14" ht="18">
      <c r="A36" s="416" t="s">
        <v>181</v>
      </c>
      <c r="B36" s="77">
        <v>0</v>
      </c>
      <c r="C36" s="419">
        <v>0</v>
      </c>
      <c r="D36" s="77"/>
      <c r="E36" s="77"/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/>
      <c r="N36" s="258">
        <f t="shared" si="8"/>
        <v>0</v>
      </c>
    </row>
    <row r="37" spans="1:14" ht="18">
      <c r="A37" s="414" t="s">
        <v>46</v>
      </c>
      <c r="B37" s="77">
        <v>0</v>
      </c>
      <c r="C37" s="419">
        <v>0</v>
      </c>
      <c r="D37" s="77"/>
      <c r="E37" s="77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/>
      <c r="N37" s="258">
        <f t="shared" si="8"/>
        <v>0</v>
      </c>
    </row>
    <row r="38" spans="1:16" ht="18">
      <c r="A38" s="418" t="s">
        <v>45</v>
      </c>
      <c r="B38" s="433">
        <v>0</v>
      </c>
      <c r="C38" s="410">
        <v>0</v>
      </c>
      <c r="D38" s="395"/>
      <c r="E38" s="410"/>
      <c r="F38" s="433">
        <v>0</v>
      </c>
      <c r="G38" s="395">
        <v>0</v>
      </c>
      <c r="H38" s="395">
        <v>0</v>
      </c>
      <c r="I38" s="395">
        <v>0</v>
      </c>
      <c r="J38" s="395">
        <v>0</v>
      </c>
      <c r="K38" s="395">
        <v>0</v>
      </c>
      <c r="L38" s="395">
        <v>0</v>
      </c>
      <c r="M38" s="395"/>
      <c r="N38" s="258">
        <f t="shared" si="8"/>
        <v>0</v>
      </c>
      <c r="P38" s="78"/>
    </row>
    <row r="39" spans="1:16" ht="18">
      <c r="A39" s="417" t="s">
        <v>242</v>
      </c>
      <c r="B39" s="397">
        <f>1300+1727.76</f>
        <v>3027.76</v>
      </c>
      <c r="C39" s="486">
        <v>0</v>
      </c>
      <c r="D39" s="402">
        <v>210</v>
      </c>
      <c r="E39" s="396">
        <f>249.25+650</f>
        <v>899.25</v>
      </c>
      <c r="F39" s="402">
        <v>70</v>
      </c>
      <c r="G39" s="402">
        <v>595</v>
      </c>
      <c r="H39" s="397">
        <v>552</v>
      </c>
      <c r="I39" s="402">
        <f>497.5+165.4</f>
        <v>662.9</v>
      </c>
      <c r="J39" s="402">
        <v>220.6</v>
      </c>
      <c r="K39" s="402">
        <v>828</v>
      </c>
      <c r="L39" s="402">
        <v>220.8</v>
      </c>
      <c r="M39" s="425">
        <f>514.14+661.6</f>
        <v>1175.74</v>
      </c>
      <c r="N39" s="258">
        <f>SUM(B39:M39)</f>
        <v>8462.050000000001</v>
      </c>
      <c r="P39" s="78"/>
    </row>
    <row r="40" spans="14:15" ht="12.75">
      <c r="N40" s="237"/>
      <c r="O40" s="76"/>
    </row>
    <row r="41" spans="1:14" ht="18">
      <c r="A41" s="398"/>
      <c r="B41" s="311"/>
      <c r="C41" s="487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2"/>
    </row>
    <row r="42" spans="1:14" ht="15.75">
      <c r="A42" s="399" t="s">
        <v>238</v>
      </c>
      <c r="B42" s="400">
        <f>B31+B33</f>
        <v>1982635.3599999999</v>
      </c>
      <c r="C42" s="400">
        <f>C33+C31</f>
        <v>1698567.3299999998</v>
      </c>
      <c r="D42" s="400">
        <f>D31+D33</f>
        <v>1660683.41</v>
      </c>
      <c r="E42" s="400">
        <f>E31+E33</f>
        <v>2196273.35</v>
      </c>
      <c r="F42" s="400">
        <f>F33+F31</f>
        <v>1404597.3400000003</v>
      </c>
      <c r="G42" s="400">
        <f>G33+G31</f>
        <v>1505963.6099999999</v>
      </c>
      <c r="H42" s="400">
        <f>H33+H31</f>
        <v>1388760.58</v>
      </c>
      <c r="I42" s="400">
        <f>I31+I33</f>
        <v>2230062.49</v>
      </c>
      <c r="J42" s="400">
        <f>J33+J31</f>
        <v>1882123.9899999998</v>
      </c>
      <c r="K42" s="400">
        <f>K31+K33</f>
        <v>2010689.2800000003</v>
      </c>
      <c r="L42" s="400">
        <f>L31+L33</f>
        <v>1989487.29</v>
      </c>
      <c r="M42" s="426">
        <f>M33+M31</f>
        <v>2363207.85</v>
      </c>
      <c r="N42" s="400">
        <f>SUM(B42:M42)</f>
        <v>22313051.88</v>
      </c>
    </row>
    <row r="43" ht="12.75">
      <c r="H43" s="289"/>
    </row>
    <row r="44" spans="1:14" ht="15.75">
      <c r="A44" s="399" t="s">
        <v>236</v>
      </c>
      <c r="B44" s="401">
        <f>227152.21+65409.53+53730.4-29643.32+94853.96-57600.67-274.74-713+243230.49+142138.68-78630.81+685+237400.6-205372.94+169450.2+560132.01-359319.21+3456.64+3271.77+9129.88+35+20528.39+657209.9+674837.34-585740.41</f>
        <v>1845356.8999999994</v>
      </c>
      <c r="C44" s="400">
        <f>42592.66+160.58+274.74+109832.26-103079.98+100080.58+68580.69+105529.94-93314.74+22123.34+340753.23-338336.55+35+270192.96+265951.35+580148.96+70487.45-58743.66+70085.71+5100.26+975.38+569465.19-555700.16</f>
        <v>1473195.19</v>
      </c>
      <c r="D44" s="400">
        <f>33850.37+19344.85+35+160.58+274.74+126583.31+35+238761.79+31654.54+164.98+35+358126.82+93633.16+24728.98+260837.3-254639.06+35+569460.1+180835.32+145748.8+124672.37-73919.97+35+18346.84+26632.21+564098.43-483200.53+35</f>
        <v>2006365.9300000004</v>
      </c>
      <c r="E44" s="400">
        <v>1690038.77</v>
      </c>
      <c r="F44" s="401">
        <f>1785068.93+70</f>
        <v>1785138.93</v>
      </c>
      <c r="G44" s="400">
        <v>1374997.68</v>
      </c>
      <c r="H44" s="400">
        <v>1521445.26</v>
      </c>
      <c r="I44" s="400">
        <f>27492.97+12147.45+50549.68-42388.2+55.2+95311.13+759.96+5829.91+2082.85+202.55+273228.09-92614.93-139414.67+219690.06+101738.6+927.6+163.75+69674.17-19008.55+1085496.25+55+8982.13+142635.76+29351.67+171311.23-156684.57+97.11+1667.27</f>
        <v>1849339.47</v>
      </c>
      <c r="J44" s="404">
        <f>97974.7+14059.83+49139.46-27797.38+34992.23-16462.63+10681.95-7171.06+64391.48+769.17+129744.78-109483.42+186809.83-160988.01+47398.53-41016.24+5129.79+1215346.77+32983.5+55+69761.58+321331.11+178.65+673898.73-384300.58-266211.3</f>
        <v>1941216.47</v>
      </c>
      <c r="K44" s="404">
        <f>38703.9-13820.84+13992.45-8611.93+9543.13+1005.31+65190.72+119401.97+118637-90765.56+2473.85+110.4+163776.35-96550.34+179456.32-174238.9+807843.79+137681.93+145924.35-110756.6+55.2+47820+131638.58-119425.78+55.2+14621.26+55.2+14921.39-8438.17+641.4+522944.51-256734.59</f>
        <v>1657151.4999999998</v>
      </c>
      <c r="L44" s="404">
        <v>1328469.08</v>
      </c>
      <c r="M44" s="404">
        <v>3115181.31</v>
      </c>
      <c r="N44" s="400">
        <f>SUM(B44:M44)</f>
        <v>21587896.49</v>
      </c>
    </row>
    <row r="45" ht="12.75">
      <c r="H45" s="237" t="s">
        <v>267</v>
      </c>
    </row>
    <row r="46" ht="12.75">
      <c r="B46" s="199"/>
    </row>
    <row r="47" spans="3:14" ht="12.75">
      <c r="C47" s="406"/>
      <c r="I47" s="451"/>
      <c r="J47" s="405" t="s">
        <v>12</v>
      </c>
      <c r="N47" s="199"/>
    </row>
    <row r="48" spans="10:13" ht="12.75">
      <c r="J48" s="406" t="s">
        <v>12</v>
      </c>
      <c r="M48" s="199"/>
    </row>
    <row r="49" spans="13:14" ht="12.75">
      <c r="M49" s="451"/>
      <c r="N49" s="199"/>
    </row>
    <row r="50" ht="12.75">
      <c r="H50" s="199"/>
    </row>
  </sheetData>
  <sheetProtection/>
  <mergeCells count="1">
    <mergeCell ref="A9:N9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48" r:id="rId2"/>
  <ignoredErrors>
    <ignoredError sqref="N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1"/>
  <sheetViews>
    <sheetView showGridLines="0" zoomScalePageLayoutView="0" workbookViewId="0" topLeftCell="A1">
      <selection activeCell="I223" sqref="I223"/>
    </sheetView>
  </sheetViews>
  <sheetFormatPr defaultColWidth="9.140625" defaultRowHeight="12.75"/>
  <cols>
    <col min="1" max="1" width="9.140625" style="512" customWidth="1"/>
    <col min="2" max="2" width="11.00390625" style="512" bestFit="1" customWidth="1"/>
    <col min="3" max="3" width="12.28125" style="512" customWidth="1"/>
    <col min="4" max="4" width="28.140625" style="512" customWidth="1"/>
    <col min="5" max="5" width="16.00390625" style="512" customWidth="1"/>
    <col min="6" max="6" width="15.140625" style="512" customWidth="1"/>
    <col min="7" max="7" width="11.7109375" style="512" customWidth="1"/>
    <col min="8" max="11" width="12.7109375" style="512" customWidth="1"/>
    <col min="12" max="12" width="17.8515625" style="512" customWidth="1"/>
    <col min="13" max="13" width="57.421875" style="512" customWidth="1"/>
    <col min="14" max="14" width="11.7109375" style="512" bestFit="1" customWidth="1"/>
    <col min="15" max="15" width="13.28125" style="512" bestFit="1" customWidth="1"/>
    <col min="16" max="16" width="9.140625" style="512" customWidth="1"/>
    <col min="17" max="17" width="10.57421875" style="512" bestFit="1" customWidth="1"/>
    <col min="18" max="16384" width="9.140625" style="512" customWidth="1"/>
  </cols>
  <sheetData>
    <row r="1" spans="1:17" ht="21">
      <c r="A1" s="634" t="s">
        <v>504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511"/>
      <c r="O1" s="511"/>
      <c r="P1" s="511"/>
      <c r="Q1" s="511"/>
    </row>
    <row r="2" spans="1:17" ht="15">
      <c r="A2" s="490"/>
      <c r="B2" s="491"/>
      <c r="C2" s="492"/>
      <c r="D2" s="490"/>
      <c r="E2" s="500"/>
      <c r="F2" s="500"/>
      <c r="G2" s="500"/>
      <c r="H2" s="500"/>
      <c r="I2" s="500"/>
      <c r="J2" s="500"/>
      <c r="K2" s="500"/>
      <c r="L2" s="511"/>
      <c r="M2" s="511"/>
      <c r="N2" s="511"/>
      <c r="O2" s="511"/>
      <c r="P2" s="511"/>
      <c r="Q2" s="511"/>
    </row>
    <row r="3" spans="1:17" ht="15">
      <c r="A3" s="508"/>
      <c r="B3" s="508"/>
      <c r="C3" s="509"/>
      <c r="D3" s="508"/>
      <c r="E3" s="510"/>
      <c r="F3" s="510"/>
      <c r="G3" s="510"/>
      <c r="H3" s="510"/>
      <c r="I3" s="510"/>
      <c r="J3" s="510"/>
      <c r="K3" s="510"/>
      <c r="L3" s="510"/>
      <c r="M3" s="510"/>
      <c r="N3" s="511"/>
      <c r="O3" s="511"/>
      <c r="P3" s="511"/>
      <c r="Q3" s="511"/>
    </row>
    <row r="4" spans="1:17" ht="12.75">
      <c r="A4" s="640" t="s">
        <v>359</v>
      </c>
      <c r="B4" s="638" t="s">
        <v>360</v>
      </c>
      <c r="C4" s="639" t="s">
        <v>361</v>
      </c>
      <c r="D4" s="638" t="s">
        <v>362</v>
      </c>
      <c r="E4" s="635" t="s">
        <v>358</v>
      </c>
      <c r="F4" s="636"/>
      <c r="G4" s="636"/>
      <c r="H4" s="636"/>
      <c r="I4" s="636"/>
      <c r="J4" s="636"/>
      <c r="K4" s="637"/>
      <c r="L4" s="641" t="s">
        <v>367</v>
      </c>
      <c r="M4" s="638" t="s">
        <v>368</v>
      </c>
      <c r="N4" s="511"/>
      <c r="O4" s="511"/>
      <c r="P4" s="511"/>
      <c r="Q4" s="511"/>
    </row>
    <row r="5" spans="1:17" ht="12.75">
      <c r="A5" s="640"/>
      <c r="B5" s="638"/>
      <c r="C5" s="639"/>
      <c r="D5" s="638"/>
      <c r="E5" s="555" t="s">
        <v>363</v>
      </c>
      <c r="F5" s="556" t="s">
        <v>364</v>
      </c>
      <c r="G5" s="555" t="s">
        <v>365</v>
      </c>
      <c r="H5" s="555" t="s">
        <v>366</v>
      </c>
      <c r="I5" s="555" t="s">
        <v>400</v>
      </c>
      <c r="J5" s="555" t="s">
        <v>401</v>
      </c>
      <c r="K5" s="555" t="s">
        <v>405</v>
      </c>
      <c r="L5" s="641"/>
      <c r="M5" s="638"/>
      <c r="N5" s="511"/>
      <c r="O5" s="511"/>
      <c r="P5" s="511"/>
      <c r="Q5" s="511"/>
    </row>
    <row r="6" spans="1:17" ht="12.75">
      <c r="A6" s="504">
        <v>1151</v>
      </c>
      <c r="B6" s="500">
        <v>17509</v>
      </c>
      <c r="C6" s="503">
        <v>44533</v>
      </c>
      <c r="D6" s="500" t="s">
        <v>374</v>
      </c>
      <c r="E6" s="518">
        <v>4602.9</v>
      </c>
      <c r="F6" s="518">
        <v>0</v>
      </c>
      <c r="G6" s="518">
        <v>42252.6</v>
      </c>
      <c r="H6" s="518">
        <v>0</v>
      </c>
      <c r="I6" s="518">
        <v>0</v>
      </c>
      <c r="J6" s="518">
        <v>0</v>
      </c>
      <c r="K6" s="518">
        <v>0</v>
      </c>
      <c r="L6" s="560">
        <v>46855.5</v>
      </c>
      <c r="M6" s="494" t="s">
        <v>505</v>
      </c>
      <c r="N6" s="511"/>
      <c r="O6" s="511"/>
      <c r="P6" s="511"/>
      <c r="Q6" s="511"/>
    </row>
    <row r="7" spans="1:17" ht="12.75">
      <c r="A7" s="504">
        <v>1152</v>
      </c>
      <c r="B7" s="500">
        <v>17510</v>
      </c>
      <c r="C7" s="503">
        <v>44533</v>
      </c>
      <c r="D7" s="500" t="s">
        <v>477</v>
      </c>
      <c r="E7" s="518">
        <v>0</v>
      </c>
      <c r="F7" s="518">
        <v>38568.75</v>
      </c>
      <c r="G7" s="518">
        <v>0</v>
      </c>
      <c r="H7" s="518">
        <v>0</v>
      </c>
      <c r="I7" s="518">
        <v>0</v>
      </c>
      <c r="J7" s="518">
        <v>0</v>
      </c>
      <c r="K7" s="518">
        <v>0</v>
      </c>
      <c r="L7" s="560">
        <v>38568.75</v>
      </c>
      <c r="M7" s="494" t="s">
        <v>506</v>
      </c>
      <c r="N7" s="511"/>
      <c r="O7" s="511"/>
      <c r="P7" s="511"/>
      <c r="Q7" s="511"/>
    </row>
    <row r="8" spans="1:17" ht="12.75">
      <c r="A8" s="504">
        <v>1153</v>
      </c>
      <c r="B8" s="500">
        <v>17511</v>
      </c>
      <c r="C8" s="503">
        <v>44533</v>
      </c>
      <c r="D8" s="500" t="s">
        <v>477</v>
      </c>
      <c r="E8" s="518">
        <v>0</v>
      </c>
      <c r="F8" s="518">
        <v>0</v>
      </c>
      <c r="G8" s="518">
        <v>1500</v>
      </c>
      <c r="H8" s="518">
        <v>0</v>
      </c>
      <c r="I8" s="518">
        <v>0</v>
      </c>
      <c r="J8" s="518">
        <v>0</v>
      </c>
      <c r="K8" s="518">
        <v>0</v>
      </c>
      <c r="L8" s="560">
        <v>1500</v>
      </c>
      <c r="M8" s="494" t="s">
        <v>507</v>
      </c>
      <c r="N8" s="511"/>
      <c r="O8" s="511"/>
      <c r="P8" s="511"/>
      <c r="Q8" s="511"/>
    </row>
    <row r="9" spans="1:17" ht="12.75">
      <c r="A9" s="504">
        <v>1154</v>
      </c>
      <c r="B9" s="500">
        <v>17512</v>
      </c>
      <c r="C9" s="503">
        <v>44533</v>
      </c>
      <c r="D9" s="500" t="s">
        <v>374</v>
      </c>
      <c r="E9" s="518">
        <v>0</v>
      </c>
      <c r="F9" s="518">
        <v>0</v>
      </c>
      <c r="G9" s="518">
        <v>0</v>
      </c>
      <c r="H9" s="518">
        <v>0</v>
      </c>
      <c r="I9" s="518">
        <v>443.73</v>
      </c>
      <c r="J9" s="518">
        <v>0</v>
      </c>
      <c r="K9" s="518">
        <v>0</v>
      </c>
      <c r="L9" s="560">
        <v>443.73</v>
      </c>
      <c r="M9" s="494" t="s">
        <v>508</v>
      </c>
      <c r="N9" s="511"/>
      <c r="O9" s="511"/>
      <c r="P9" s="511"/>
      <c r="Q9" s="511"/>
    </row>
    <row r="10" spans="1:17" ht="15">
      <c r="A10" s="542">
        <v>1155</v>
      </c>
      <c r="B10" s="543"/>
      <c r="C10" s="544">
        <v>44533</v>
      </c>
      <c r="D10" s="545" t="s">
        <v>472</v>
      </c>
      <c r="E10" s="558">
        <v>0</v>
      </c>
      <c r="F10" s="558">
        <v>0</v>
      </c>
      <c r="G10" s="558">
        <v>0</v>
      </c>
      <c r="H10" s="558">
        <v>0</v>
      </c>
      <c r="I10" s="558">
        <v>0</v>
      </c>
      <c r="J10" s="558">
        <v>0</v>
      </c>
      <c r="K10" s="558">
        <v>0</v>
      </c>
      <c r="L10" s="561" t="s">
        <v>441</v>
      </c>
      <c r="M10" s="546" t="s">
        <v>372</v>
      </c>
      <c r="N10" s="511"/>
      <c r="O10" s="511"/>
      <c r="P10" s="511"/>
      <c r="Q10" s="511"/>
    </row>
    <row r="11" spans="1:17" ht="12.75">
      <c r="A11" s="504">
        <v>1156</v>
      </c>
      <c r="B11" s="500">
        <v>17513</v>
      </c>
      <c r="C11" s="503">
        <v>44533</v>
      </c>
      <c r="D11" s="500" t="s">
        <v>472</v>
      </c>
      <c r="E11" s="518">
        <v>8583.75</v>
      </c>
      <c r="F11" s="518">
        <v>0</v>
      </c>
      <c r="G11" s="518">
        <v>0</v>
      </c>
      <c r="H11" s="518">
        <v>0</v>
      </c>
      <c r="I11" s="518">
        <v>0</v>
      </c>
      <c r="J11" s="518">
        <v>0</v>
      </c>
      <c r="K11" s="518">
        <v>0</v>
      </c>
      <c r="L11" s="560">
        <v>8583.75</v>
      </c>
      <c r="M11" s="494" t="s">
        <v>509</v>
      </c>
      <c r="N11" s="511"/>
      <c r="O11" s="511"/>
      <c r="P11" s="511"/>
      <c r="Q11" s="511"/>
    </row>
    <row r="12" spans="1:17" ht="12.75">
      <c r="A12" s="504">
        <v>1157</v>
      </c>
      <c r="B12" s="500">
        <v>17514</v>
      </c>
      <c r="C12" s="503">
        <v>44533</v>
      </c>
      <c r="D12" s="500" t="s">
        <v>472</v>
      </c>
      <c r="E12" s="518">
        <v>0</v>
      </c>
      <c r="F12" s="518">
        <v>429.66</v>
      </c>
      <c r="G12" s="518">
        <v>0</v>
      </c>
      <c r="H12" s="518">
        <v>0</v>
      </c>
      <c r="I12" s="518">
        <v>0</v>
      </c>
      <c r="J12" s="518">
        <v>0</v>
      </c>
      <c r="K12" s="518">
        <v>0</v>
      </c>
      <c r="L12" s="560">
        <v>429.66</v>
      </c>
      <c r="M12" s="494" t="s">
        <v>510</v>
      </c>
      <c r="N12" s="511"/>
      <c r="O12" s="511"/>
      <c r="P12" s="511"/>
      <c r="Q12" s="511"/>
    </row>
    <row r="13" spans="1:17" ht="12.75">
      <c r="A13" s="504">
        <v>1158</v>
      </c>
      <c r="B13" s="500">
        <v>17515</v>
      </c>
      <c r="C13" s="503">
        <v>44533</v>
      </c>
      <c r="D13" s="500" t="s">
        <v>472</v>
      </c>
      <c r="E13" s="518">
        <v>2175</v>
      </c>
      <c r="F13" s="518">
        <v>1964.16</v>
      </c>
      <c r="G13" s="518">
        <v>600</v>
      </c>
      <c r="H13" s="518">
        <v>0</v>
      </c>
      <c r="I13" s="518">
        <v>20.7</v>
      </c>
      <c r="J13" s="518">
        <v>0</v>
      </c>
      <c r="K13" s="518">
        <v>0</v>
      </c>
      <c r="L13" s="560">
        <v>4759.86</v>
      </c>
      <c r="M13" s="494" t="s">
        <v>476</v>
      </c>
      <c r="N13" s="511"/>
      <c r="O13" s="511"/>
      <c r="P13" s="511"/>
      <c r="Q13" s="511"/>
    </row>
    <row r="14" spans="1:17" ht="12.75">
      <c r="A14" s="504">
        <v>1159</v>
      </c>
      <c r="B14" s="500">
        <v>17516</v>
      </c>
      <c r="C14" s="503">
        <v>44533</v>
      </c>
      <c r="D14" s="500" t="s">
        <v>415</v>
      </c>
      <c r="E14" s="518">
        <v>0</v>
      </c>
      <c r="F14" s="518">
        <v>2215.2</v>
      </c>
      <c r="G14" s="518">
        <v>0</v>
      </c>
      <c r="H14" s="518">
        <v>0</v>
      </c>
      <c r="I14" s="518">
        <v>0</v>
      </c>
      <c r="J14" s="518">
        <v>0</v>
      </c>
      <c r="K14" s="518">
        <v>0</v>
      </c>
      <c r="L14" s="560">
        <v>2215.2</v>
      </c>
      <c r="M14" s="494" t="s">
        <v>511</v>
      </c>
      <c r="N14" s="511"/>
      <c r="O14" s="511"/>
      <c r="P14" s="511"/>
      <c r="Q14" s="511"/>
    </row>
    <row r="15" spans="1:17" ht="12.75">
      <c r="A15" s="504">
        <v>1160</v>
      </c>
      <c r="B15" s="500">
        <v>17517</v>
      </c>
      <c r="C15" s="503">
        <v>44533</v>
      </c>
      <c r="D15" s="500" t="s">
        <v>379</v>
      </c>
      <c r="E15" s="518">
        <v>0</v>
      </c>
      <c r="F15" s="518">
        <v>2672.38</v>
      </c>
      <c r="G15" s="518">
        <v>0</v>
      </c>
      <c r="H15" s="518">
        <v>0</v>
      </c>
      <c r="I15" s="518">
        <v>0</v>
      </c>
      <c r="J15" s="518">
        <v>0</v>
      </c>
      <c r="K15" s="518">
        <v>0</v>
      </c>
      <c r="L15" s="560">
        <v>2672.38</v>
      </c>
      <c r="M15" s="494" t="s">
        <v>511</v>
      </c>
      <c r="N15" s="511"/>
      <c r="O15" s="511"/>
      <c r="P15" s="511"/>
      <c r="Q15" s="511"/>
    </row>
    <row r="16" spans="1:17" ht="12.75">
      <c r="A16" s="504">
        <v>1161</v>
      </c>
      <c r="B16" s="500">
        <v>17518</v>
      </c>
      <c r="C16" s="503">
        <v>44533</v>
      </c>
      <c r="D16" s="500" t="s">
        <v>512</v>
      </c>
      <c r="E16" s="518">
        <v>0</v>
      </c>
      <c r="F16" s="518">
        <v>1557.42</v>
      </c>
      <c r="G16" s="518">
        <v>1200</v>
      </c>
      <c r="H16" s="518">
        <v>0</v>
      </c>
      <c r="I16" s="518">
        <v>0</v>
      </c>
      <c r="J16" s="518">
        <v>0</v>
      </c>
      <c r="K16" s="518">
        <v>0</v>
      </c>
      <c r="L16" s="560">
        <v>2757.42</v>
      </c>
      <c r="M16" s="494" t="s">
        <v>473</v>
      </c>
      <c r="N16" s="511"/>
      <c r="O16" s="511"/>
      <c r="P16" s="511"/>
      <c r="Q16" s="511"/>
    </row>
    <row r="17" spans="1:17" ht="12.75">
      <c r="A17" s="504">
        <v>1162</v>
      </c>
      <c r="B17" s="500">
        <v>17519</v>
      </c>
      <c r="C17" s="503">
        <v>44533</v>
      </c>
      <c r="D17" s="500" t="s">
        <v>376</v>
      </c>
      <c r="E17" s="518">
        <v>0</v>
      </c>
      <c r="F17" s="518">
        <v>0</v>
      </c>
      <c r="G17" s="518">
        <v>19160</v>
      </c>
      <c r="H17" s="518">
        <v>0</v>
      </c>
      <c r="I17" s="518">
        <v>0</v>
      </c>
      <c r="J17" s="518">
        <v>0</v>
      </c>
      <c r="K17" s="518">
        <v>0</v>
      </c>
      <c r="L17" s="560">
        <v>19160</v>
      </c>
      <c r="M17" s="494" t="s">
        <v>479</v>
      </c>
      <c r="N17" s="511"/>
      <c r="O17" s="511"/>
      <c r="P17" s="511"/>
      <c r="Q17" s="511"/>
    </row>
    <row r="18" spans="1:17" ht="15">
      <c r="A18" s="504">
        <v>1163</v>
      </c>
      <c r="B18" s="500">
        <v>17520</v>
      </c>
      <c r="C18" s="503">
        <v>44533</v>
      </c>
      <c r="D18" s="500" t="s">
        <v>457</v>
      </c>
      <c r="E18" s="518">
        <v>0</v>
      </c>
      <c r="F18" s="518">
        <v>618.3</v>
      </c>
      <c r="G18" s="559">
        <v>600</v>
      </c>
      <c r="H18" s="559">
        <v>0</v>
      </c>
      <c r="I18" s="559">
        <v>0</v>
      </c>
      <c r="J18" s="559">
        <v>0</v>
      </c>
      <c r="K18" s="559">
        <v>0</v>
      </c>
      <c r="L18" s="560">
        <v>1218.3</v>
      </c>
      <c r="M18" s="494" t="s">
        <v>513</v>
      </c>
      <c r="N18" s="511"/>
      <c r="O18" s="511"/>
      <c r="P18" s="511"/>
      <c r="Q18" s="511"/>
    </row>
    <row r="19" spans="1:17" ht="12.75">
      <c r="A19" s="504">
        <v>1164</v>
      </c>
      <c r="B19" s="500">
        <v>17521</v>
      </c>
      <c r="C19" s="503">
        <v>44533</v>
      </c>
      <c r="D19" s="500" t="s">
        <v>440</v>
      </c>
      <c r="E19" s="518">
        <v>0</v>
      </c>
      <c r="F19" s="518">
        <v>0</v>
      </c>
      <c r="G19" s="518">
        <v>1500</v>
      </c>
      <c r="H19" s="518">
        <v>0</v>
      </c>
      <c r="I19" s="518">
        <v>20.7</v>
      </c>
      <c r="J19" s="518">
        <v>0</v>
      </c>
      <c r="K19" s="518">
        <v>0</v>
      </c>
      <c r="L19" s="560">
        <v>1520.7</v>
      </c>
      <c r="M19" s="494" t="s">
        <v>514</v>
      </c>
      <c r="N19" s="511"/>
      <c r="O19" s="511"/>
      <c r="P19" s="511"/>
      <c r="Q19" s="511"/>
    </row>
    <row r="20" spans="1:17" ht="15">
      <c r="A20" s="493">
        <v>1165</v>
      </c>
      <c r="B20" s="491">
        <v>17522</v>
      </c>
      <c r="C20" s="503">
        <v>44533</v>
      </c>
      <c r="D20" s="491" t="s">
        <v>437</v>
      </c>
      <c r="E20" s="559">
        <v>0</v>
      </c>
      <c r="F20" s="559">
        <v>306.9</v>
      </c>
      <c r="G20" s="559">
        <v>600</v>
      </c>
      <c r="H20" s="559">
        <v>0</v>
      </c>
      <c r="I20" s="559">
        <v>20.7</v>
      </c>
      <c r="J20" s="559">
        <v>0</v>
      </c>
      <c r="K20" s="559">
        <v>0</v>
      </c>
      <c r="L20" s="560">
        <v>927.6</v>
      </c>
      <c r="M20" s="494" t="s">
        <v>373</v>
      </c>
      <c r="N20" s="511"/>
      <c r="O20" s="511"/>
      <c r="P20" s="511"/>
      <c r="Q20" s="511"/>
    </row>
    <row r="21" spans="1:17" ht="12.75">
      <c r="A21" s="504">
        <v>1166</v>
      </c>
      <c r="B21" s="500">
        <v>17523</v>
      </c>
      <c r="C21" s="503">
        <v>44535</v>
      </c>
      <c r="D21" s="500" t="s">
        <v>369</v>
      </c>
      <c r="E21" s="518">
        <v>0</v>
      </c>
      <c r="F21" s="518">
        <v>618.3</v>
      </c>
      <c r="G21" s="518">
        <v>1078.17</v>
      </c>
      <c r="H21" s="518">
        <v>0</v>
      </c>
      <c r="I21" s="518">
        <v>0</v>
      </c>
      <c r="J21" s="518">
        <v>0</v>
      </c>
      <c r="K21" s="518">
        <v>0</v>
      </c>
      <c r="L21" s="560">
        <v>1696.47</v>
      </c>
      <c r="M21" s="494" t="s">
        <v>455</v>
      </c>
      <c r="N21" s="511"/>
      <c r="O21" s="513"/>
      <c r="P21" s="511"/>
      <c r="Q21" s="511"/>
    </row>
    <row r="22" spans="1:17" ht="12.75">
      <c r="A22" s="504">
        <v>1167</v>
      </c>
      <c r="B22" s="500">
        <v>17524</v>
      </c>
      <c r="C22" s="503">
        <v>44535</v>
      </c>
      <c r="D22" s="500" t="s">
        <v>369</v>
      </c>
      <c r="E22" s="518">
        <v>0</v>
      </c>
      <c r="F22" s="518">
        <v>639.38</v>
      </c>
      <c r="G22" s="518">
        <v>1200</v>
      </c>
      <c r="H22" s="518">
        <v>0</v>
      </c>
      <c r="I22" s="518">
        <v>0</v>
      </c>
      <c r="J22" s="518">
        <v>0</v>
      </c>
      <c r="K22" s="518">
        <v>0</v>
      </c>
      <c r="L22" s="560">
        <v>1839.38</v>
      </c>
      <c r="M22" s="494" t="s">
        <v>453</v>
      </c>
      <c r="N22" s="511"/>
      <c r="O22" s="511"/>
      <c r="P22" s="511"/>
      <c r="Q22" s="511"/>
    </row>
    <row r="23" spans="1:17" ht="12.75">
      <c r="A23" s="504">
        <v>1168</v>
      </c>
      <c r="B23" s="500">
        <v>17525</v>
      </c>
      <c r="C23" s="503">
        <v>44535</v>
      </c>
      <c r="D23" s="500" t="s">
        <v>369</v>
      </c>
      <c r="E23" s="518">
        <v>0</v>
      </c>
      <c r="F23" s="518">
        <v>440.91</v>
      </c>
      <c r="G23" s="518">
        <v>1200</v>
      </c>
      <c r="H23" s="518">
        <v>0</v>
      </c>
      <c r="I23" s="518">
        <v>0</v>
      </c>
      <c r="J23" s="518">
        <v>0</v>
      </c>
      <c r="K23" s="518">
        <v>0</v>
      </c>
      <c r="L23" s="560">
        <v>1640.91</v>
      </c>
      <c r="M23" s="494" t="s">
        <v>377</v>
      </c>
      <c r="N23" s="511"/>
      <c r="O23" s="511"/>
      <c r="P23" s="511"/>
      <c r="Q23" s="511"/>
    </row>
    <row r="24" spans="1:17" ht="12.75">
      <c r="A24" s="504">
        <v>1169</v>
      </c>
      <c r="B24" s="500">
        <v>17526</v>
      </c>
      <c r="C24" s="503">
        <v>44535</v>
      </c>
      <c r="D24" s="500" t="s">
        <v>369</v>
      </c>
      <c r="E24" s="518">
        <v>0</v>
      </c>
      <c r="F24" s="518">
        <v>1232.31</v>
      </c>
      <c r="G24" s="518">
        <v>1200</v>
      </c>
      <c r="H24" s="518">
        <v>0</v>
      </c>
      <c r="I24" s="518">
        <v>0</v>
      </c>
      <c r="J24" s="518">
        <v>0</v>
      </c>
      <c r="K24" s="518">
        <v>0</v>
      </c>
      <c r="L24" s="560">
        <v>2432.31</v>
      </c>
      <c r="M24" s="494" t="s">
        <v>515</v>
      </c>
      <c r="N24" s="511"/>
      <c r="O24" s="511"/>
      <c r="P24" s="511"/>
      <c r="Q24" s="511"/>
    </row>
    <row r="25" spans="1:17" ht="12.75">
      <c r="A25" s="504">
        <v>1170</v>
      </c>
      <c r="B25" s="500">
        <v>17527</v>
      </c>
      <c r="C25" s="503">
        <v>44535</v>
      </c>
      <c r="D25" s="500" t="s">
        <v>369</v>
      </c>
      <c r="E25" s="518">
        <v>0</v>
      </c>
      <c r="F25" s="518">
        <v>589.66</v>
      </c>
      <c r="G25" s="518">
        <v>600</v>
      </c>
      <c r="H25" s="518">
        <v>0</v>
      </c>
      <c r="I25" s="518">
        <v>0</v>
      </c>
      <c r="J25" s="518">
        <v>0</v>
      </c>
      <c r="K25" s="518">
        <v>0</v>
      </c>
      <c r="L25" s="560">
        <v>1189.66</v>
      </c>
      <c r="M25" s="494" t="s">
        <v>516</v>
      </c>
      <c r="N25" s="511"/>
      <c r="O25" s="511"/>
      <c r="P25" s="511"/>
      <c r="Q25" s="511"/>
    </row>
    <row r="26" spans="1:17" ht="12.75">
      <c r="A26" s="504">
        <v>1171</v>
      </c>
      <c r="B26" s="500">
        <v>17528</v>
      </c>
      <c r="C26" s="503">
        <v>44535</v>
      </c>
      <c r="D26" s="500" t="s">
        <v>369</v>
      </c>
      <c r="E26" s="518">
        <v>0</v>
      </c>
      <c r="F26" s="518">
        <v>0</v>
      </c>
      <c r="G26" s="518">
        <v>600</v>
      </c>
      <c r="H26" s="518">
        <v>127.6</v>
      </c>
      <c r="I26" s="518">
        <v>0</v>
      </c>
      <c r="J26" s="518">
        <v>0</v>
      </c>
      <c r="K26" s="518">
        <v>0</v>
      </c>
      <c r="L26" s="560">
        <v>727.6</v>
      </c>
      <c r="M26" s="494" t="s">
        <v>413</v>
      </c>
      <c r="N26" s="511"/>
      <c r="O26" s="511"/>
      <c r="P26" s="511"/>
      <c r="Q26" s="511"/>
    </row>
    <row r="27" spans="1:17" ht="12.75">
      <c r="A27" s="504">
        <v>1172</v>
      </c>
      <c r="B27" s="500">
        <v>17529</v>
      </c>
      <c r="C27" s="503">
        <v>44536</v>
      </c>
      <c r="D27" s="500" t="s">
        <v>369</v>
      </c>
      <c r="E27" s="518">
        <v>0</v>
      </c>
      <c r="F27" s="518">
        <v>0</v>
      </c>
      <c r="G27" s="518">
        <v>600</v>
      </c>
      <c r="H27" s="518">
        <v>63.8</v>
      </c>
      <c r="I27" s="518">
        <v>0</v>
      </c>
      <c r="J27" s="518">
        <v>0</v>
      </c>
      <c r="K27" s="518">
        <v>0</v>
      </c>
      <c r="L27" s="560">
        <v>663.8</v>
      </c>
      <c r="M27" s="494" t="s">
        <v>517</v>
      </c>
      <c r="N27" s="511"/>
      <c r="O27" s="511"/>
      <c r="P27" s="511"/>
      <c r="Q27" s="511"/>
    </row>
    <row r="28" spans="1:17" ht="12.75">
      <c r="A28" s="504">
        <v>1173</v>
      </c>
      <c r="B28" s="500">
        <v>17530</v>
      </c>
      <c r="C28" s="503">
        <v>44536</v>
      </c>
      <c r="D28" s="500" t="s">
        <v>369</v>
      </c>
      <c r="E28" s="518">
        <v>0</v>
      </c>
      <c r="F28" s="518">
        <v>0</v>
      </c>
      <c r="G28" s="518">
        <v>600</v>
      </c>
      <c r="H28" s="518">
        <v>255.2</v>
      </c>
      <c r="I28" s="518">
        <v>0</v>
      </c>
      <c r="J28" s="518">
        <v>0</v>
      </c>
      <c r="K28" s="518">
        <v>0</v>
      </c>
      <c r="L28" s="560">
        <v>855.2</v>
      </c>
      <c r="M28" s="494" t="s">
        <v>383</v>
      </c>
      <c r="N28" s="511"/>
      <c r="O28" s="511"/>
      <c r="P28" s="511"/>
      <c r="Q28" s="511"/>
    </row>
    <row r="29" spans="1:17" ht="12.75">
      <c r="A29" s="504">
        <v>1174</v>
      </c>
      <c r="B29" s="500">
        <v>17531</v>
      </c>
      <c r="C29" s="503">
        <v>44536</v>
      </c>
      <c r="D29" s="500" t="s">
        <v>369</v>
      </c>
      <c r="E29" s="518">
        <v>0</v>
      </c>
      <c r="F29" s="518">
        <v>0</v>
      </c>
      <c r="G29" s="518">
        <v>600</v>
      </c>
      <c r="H29" s="518">
        <v>669.9</v>
      </c>
      <c r="I29" s="518">
        <v>0</v>
      </c>
      <c r="J29" s="518">
        <v>0</v>
      </c>
      <c r="K29" s="518">
        <v>0</v>
      </c>
      <c r="L29" s="560">
        <v>1269.9</v>
      </c>
      <c r="M29" s="494" t="s">
        <v>518</v>
      </c>
      <c r="N29" s="511"/>
      <c r="O29" s="511"/>
      <c r="P29" s="511"/>
      <c r="Q29" s="511"/>
    </row>
    <row r="30" spans="1:17" ht="12.75">
      <c r="A30" s="504">
        <v>1175</v>
      </c>
      <c r="B30" s="500">
        <v>17532</v>
      </c>
      <c r="C30" s="503">
        <v>44536</v>
      </c>
      <c r="D30" s="500" t="s">
        <v>369</v>
      </c>
      <c r="E30" s="518">
        <v>0</v>
      </c>
      <c r="F30" s="518">
        <v>0</v>
      </c>
      <c r="G30" s="518">
        <v>600</v>
      </c>
      <c r="H30" s="518">
        <v>797.5</v>
      </c>
      <c r="I30" s="518">
        <v>0</v>
      </c>
      <c r="J30" s="518">
        <v>0</v>
      </c>
      <c r="K30" s="518">
        <v>0</v>
      </c>
      <c r="L30" s="560">
        <v>1397.5</v>
      </c>
      <c r="M30" s="494" t="s">
        <v>384</v>
      </c>
      <c r="N30" s="511"/>
      <c r="O30" s="511"/>
      <c r="P30" s="511"/>
      <c r="Q30" s="511"/>
    </row>
    <row r="31" spans="1:17" ht="12.75">
      <c r="A31" s="504">
        <v>1176</v>
      </c>
      <c r="B31" s="500">
        <v>17533</v>
      </c>
      <c r="C31" s="503">
        <v>44537</v>
      </c>
      <c r="D31" s="500" t="s">
        <v>374</v>
      </c>
      <c r="E31" s="518">
        <v>10368.6</v>
      </c>
      <c r="F31" s="518">
        <v>0</v>
      </c>
      <c r="G31" s="518">
        <v>113216.1</v>
      </c>
      <c r="H31" s="518">
        <v>0</v>
      </c>
      <c r="I31" s="518">
        <v>0</v>
      </c>
      <c r="J31" s="518">
        <v>0</v>
      </c>
      <c r="K31" s="518">
        <v>0</v>
      </c>
      <c r="L31" s="560">
        <v>123584.7</v>
      </c>
      <c r="M31" s="494" t="s">
        <v>519</v>
      </c>
      <c r="N31" s="511"/>
      <c r="O31" s="511"/>
      <c r="P31" s="511"/>
      <c r="Q31" s="511"/>
    </row>
    <row r="32" spans="1:17" ht="12.75">
      <c r="A32" s="504">
        <v>1177</v>
      </c>
      <c r="B32" s="500">
        <v>17534</v>
      </c>
      <c r="C32" s="503">
        <v>44537</v>
      </c>
      <c r="D32" s="500" t="s">
        <v>371</v>
      </c>
      <c r="E32" s="518">
        <v>0</v>
      </c>
      <c r="F32" s="518">
        <v>53482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60">
        <v>53482</v>
      </c>
      <c r="M32" s="494" t="s">
        <v>520</v>
      </c>
      <c r="N32" s="511"/>
      <c r="O32" s="511"/>
      <c r="P32" s="511"/>
      <c r="Q32" s="511"/>
    </row>
    <row r="33" spans="1:17" ht="12.75">
      <c r="A33" s="504">
        <v>1178</v>
      </c>
      <c r="B33" s="500">
        <v>17535</v>
      </c>
      <c r="C33" s="503">
        <v>44537</v>
      </c>
      <c r="D33" s="500" t="s">
        <v>457</v>
      </c>
      <c r="E33" s="518">
        <v>0</v>
      </c>
      <c r="F33" s="518">
        <v>0</v>
      </c>
      <c r="G33" s="518">
        <v>1500</v>
      </c>
      <c r="H33" s="518">
        <v>0</v>
      </c>
      <c r="I33" s="518">
        <v>0</v>
      </c>
      <c r="J33" s="518">
        <v>0</v>
      </c>
      <c r="K33" s="518">
        <v>0</v>
      </c>
      <c r="L33" s="560">
        <v>1500</v>
      </c>
      <c r="M33" s="494" t="s">
        <v>521</v>
      </c>
      <c r="N33" s="513"/>
      <c r="O33" s="511"/>
      <c r="P33" s="511"/>
      <c r="Q33" s="511"/>
    </row>
    <row r="34" spans="1:17" ht="12.75">
      <c r="A34" s="504">
        <v>1179</v>
      </c>
      <c r="B34" s="500">
        <v>17536</v>
      </c>
      <c r="C34" s="503">
        <v>44537</v>
      </c>
      <c r="D34" s="500" t="s">
        <v>522</v>
      </c>
      <c r="E34" s="518">
        <v>0</v>
      </c>
      <c r="F34" s="518">
        <v>0</v>
      </c>
      <c r="G34" s="518">
        <v>0</v>
      </c>
      <c r="H34" s="518">
        <v>0</v>
      </c>
      <c r="I34" s="518">
        <v>1442.79</v>
      </c>
      <c r="J34" s="518">
        <v>0</v>
      </c>
      <c r="K34" s="518">
        <v>0</v>
      </c>
      <c r="L34" s="560">
        <v>1442.79</v>
      </c>
      <c r="M34" s="494" t="s">
        <v>523</v>
      </c>
      <c r="N34" s="511"/>
      <c r="O34" s="511"/>
      <c r="P34" s="511"/>
      <c r="Q34" s="511"/>
    </row>
    <row r="35" spans="1:17" ht="15">
      <c r="A35" s="542">
        <v>1180</v>
      </c>
      <c r="B35" s="543"/>
      <c r="C35" s="544">
        <v>44537</v>
      </c>
      <c r="D35" s="545" t="s">
        <v>415</v>
      </c>
      <c r="E35" s="558">
        <v>0</v>
      </c>
      <c r="F35" s="558">
        <v>0</v>
      </c>
      <c r="G35" s="558">
        <v>0</v>
      </c>
      <c r="H35" s="558">
        <v>0</v>
      </c>
      <c r="I35" s="558">
        <v>0</v>
      </c>
      <c r="J35" s="558">
        <v>0</v>
      </c>
      <c r="K35" s="558">
        <v>0</v>
      </c>
      <c r="L35" s="561" t="s">
        <v>441</v>
      </c>
      <c r="M35" s="546" t="s">
        <v>372</v>
      </c>
      <c r="N35" s="511"/>
      <c r="O35" s="511"/>
      <c r="P35" s="511"/>
      <c r="Q35" s="511"/>
    </row>
    <row r="36" spans="1:17" ht="12.75">
      <c r="A36" s="504">
        <v>1181</v>
      </c>
      <c r="B36" s="500">
        <v>17537</v>
      </c>
      <c r="C36" s="503">
        <v>44537</v>
      </c>
      <c r="D36" s="500" t="s">
        <v>512</v>
      </c>
      <c r="E36" s="518">
        <v>0</v>
      </c>
      <c r="F36" s="518">
        <v>0</v>
      </c>
      <c r="G36" s="518">
        <v>0</v>
      </c>
      <c r="H36" s="518">
        <v>429.66</v>
      </c>
      <c r="I36" s="518">
        <v>0</v>
      </c>
      <c r="J36" s="518">
        <v>0</v>
      </c>
      <c r="K36" s="518">
        <v>0</v>
      </c>
      <c r="L36" s="560">
        <v>429.66</v>
      </c>
      <c r="M36" s="494" t="s">
        <v>524</v>
      </c>
      <c r="N36" s="511"/>
      <c r="O36" s="511"/>
      <c r="P36" s="511"/>
      <c r="Q36" s="511"/>
    </row>
    <row r="37" spans="1:17" ht="12.75">
      <c r="A37" s="504">
        <v>1182</v>
      </c>
      <c r="B37" s="500">
        <v>17538</v>
      </c>
      <c r="C37" s="503">
        <v>44537</v>
      </c>
      <c r="D37" s="500" t="s">
        <v>374</v>
      </c>
      <c r="E37" s="518">
        <v>0</v>
      </c>
      <c r="F37" s="518">
        <v>0</v>
      </c>
      <c r="G37" s="518">
        <v>0</v>
      </c>
      <c r="H37" s="518">
        <v>8634.14</v>
      </c>
      <c r="I37" s="518">
        <v>0</v>
      </c>
      <c r="J37" s="518">
        <v>0</v>
      </c>
      <c r="K37" s="518">
        <v>0</v>
      </c>
      <c r="L37" s="560">
        <v>8634.14</v>
      </c>
      <c r="M37" s="494" t="s">
        <v>525</v>
      </c>
      <c r="N37" s="511"/>
      <c r="O37" s="511"/>
      <c r="P37" s="511"/>
      <c r="Q37" s="511"/>
    </row>
    <row r="38" spans="1:17" ht="12.75">
      <c r="A38" s="504">
        <v>1183</v>
      </c>
      <c r="B38" s="500">
        <v>17539</v>
      </c>
      <c r="C38" s="503">
        <v>44537</v>
      </c>
      <c r="D38" s="500" t="s">
        <v>370</v>
      </c>
      <c r="E38" s="518">
        <v>0</v>
      </c>
      <c r="F38" s="518">
        <v>386.69</v>
      </c>
      <c r="G38" s="518">
        <v>1200</v>
      </c>
      <c r="H38" s="518">
        <v>0</v>
      </c>
      <c r="I38" s="518">
        <v>0</v>
      </c>
      <c r="J38" s="518">
        <v>0</v>
      </c>
      <c r="K38" s="518">
        <v>0</v>
      </c>
      <c r="L38" s="560">
        <v>1586.69</v>
      </c>
      <c r="M38" s="494" t="s">
        <v>381</v>
      </c>
      <c r="N38" s="511"/>
      <c r="O38" s="511"/>
      <c r="P38" s="511"/>
      <c r="Q38" s="511"/>
    </row>
    <row r="39" spans="1:17" ht="12.75">
      <c r="A39" s="504">
        <v>1184</v>
      </c>
      <c r="B39" s="500">
        <v>17540</v>
      </c>
      <c r="C39" s="503">
        <v>44537</v>
      </c>
      <c r="D39" s="500" t="s">
        <v>415</v>
      </c>
      <c r="E39" s="518">
        <v>0</v>
      </c>
      <c r="F39" s="518">
        <v>1921.8</v>
      </c>
      <c r="G39" s="518">
        <v>0</v>
      </c>
      <c r="H39" s="518">
        <v>0</v>
      </c>
      <c r="I39" s="518">
        <v>0</v>
      </c>
      <c r="J39" s="518">
        <v>0</v>
      </c>
      <c r="K39" s="518">
        <v>0</v>
      </c>
      <c r="L39" s="560">
        <v>1921.8</v>
      </c>
      <c r="M39" s="494" t="s">
        <v>474</v>
      </c>
      <c r="N39" s="511"/>
      <c r="O39" s="511"/>
      <c r="P39" s="511"/>
      <c r="Q39" s="511"/>
    </row>
    <row r="40" spans="1:17" ht="12.75">
      <c r="A40" s="504">
        <v>1185</v>
      </c>
      <c r="B40" s="500">
        <v>17541</v>
      </c>
      <c r="C40" s="503">
        <v>44537</v>
      </c>
      <c r="D40" s="500" t="s">
        <v>374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13758.43</v>
      </c>
      <c r="L40" s="560">
        <v>13758.43</v>
      </c>
      <c r="M40" s="494" t="s">
        <v>526</v>
      </c>
      <c r="N40" s="511"/>
      <c r="O40" s="511"/>
      <c r="P40" s="511"/>
      <c r="Q40" s="511"/>
    </row>
    <row r="41" spans="1:17" ht="12.75">
      <c r="A41" s="504">
        <v>1186</v>
      </c>
      <c r="B41" s="500">
        <v>17542</v>
      </c>
      <c r="C41" s="503">
        <v>44537</v>
      </c>
      <c r="D41" s="500" t="s">
        <v>472</v>
      </c>
      <c r="E41" s="518">
        <v>0</v>
      </c>
      <c r="F41" s="518">
        <v>214.83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60">
        <v>214.83</v>
      </c>
      <c r="M41" s="494" t="s">
        <v>510</v>
      </c>
      <c r="N41" s="511"/>
      <c r="O41" s="511"/>
      <c r="P41" s="511"/>
      <c r="Q41" s="511"/>
    </row>
    <row r="42" spans="1:17" ht="15">
      <c r="A42" s="504">
        <v>1187</v>
      </c>
      <c r="B42" s="500">
        <v>17543</v>
      </c>
      <c r="C42" s="503">
        <v>44537</v>
      </c>
      <c r="D42" s="491" t="s">
        <v>375</v>
      </c>
      <c r="E42" s="518">
        <v>0</v>
      </c>
      <c r="F42" s="518">
        <v>0</v>
      </c>
      <c r="G42" s="518">
        <v>0</v>
      </c>
      <c r="H42" s="518">
        <v>0</v>
      </c>
      <c r="I42" s="518">
        <v>0</v>
      </c>
      <c r="J42" s="518">
        <v>0</v>
      </c>
      <c r="K42" s="518">
        <v>5270.73</v>
      </c>
      <c r="L42" s="560">
        <v>5270.73</v>
      </c>
      <c r="M42" s="494" t="s">
        <v>526</v>
      </c>
      <c r="N42" s="511"/>
      <c r="O42" s="511"/>
      <c r="P42" s="511"/>
      <c r="Q42" s="511"/>
    </row>
    <row r="43" spans="1:17" ht="15">
      <c r="A43" s="504">
        <v>1188</v>
      </c>
      <c r="B43" s="500">
        <v>17544</v>
      </c>
      <c r="C43" s="503">
        <v>44537</v>
      </c>
      <c r="D43" s="491" t="s">
        <v>472</v>
      </c>
      <c r="E43" s="518">
        <v>8109.38</v>
      </c>
      <c r="F43" s="518">
        <v>0</v>
      </c>
      <c r="G43" s="518">
        <v>0</v>
      </c>
      <c r="H43" s="518">
        <v>0</v>
      </c>
      <c r="I43" s="518">
        <v>0</v>
      </c>
      <c r="J43" s="518">
        <v>0</v>
      </c>
      <c r="K43" s="518">
        <v>0</v>
      </c>
      <c r="L43" s="560">
        <v>8109.38</v>
      </c>
      <c r="M43" s="494" t="s">
        <v>527</v>
      </c>
      <c r="N43" s="511"/>
      <c r="O43" s="511"/>
      <c r="P43" s="511"/>
      <c r="Q43" s="511"/>
    </row>
    <row r="44" spans="1:17" ht="15">
      <c r="A44" s="504">
        <v>1189</v>
      </c>
      <c r="B44" s="500">
        <v>17545</v>
      </c>
      <c r="C44" s="503">
        <v>44538</v>
      </c>
      <c r="D44" s="491" t="s">
        <v>371</v>
      </c>
      <c r="E44" s="518">
        <v>0</v>
      </c>
      <c r="F44" s="518">
        <v>186.18</v>
      </c>
      <c r="G44" s="518">
        <v>0</v>
      </c>
      <c r="H44" s="518">
        <v>0</v>
      </c>
      <c r="I44" s="518">
        <v>0</v>
      </c>
      <c r="J44" s="518">
        <v>0</v>
      </c>
      <c r="K44" s="518">
        <v>0</v>
      </c>
      <c r="L44" s="560">
        <v>186.18</v>
      </c>
      <c r="M44" s="494" t="s">
        <v>528</v>
      </c>
      <c r="N44" s="511"/>
      <c r="O44" s="511"/>
      <c r="P44" s="511"/>
      <c r="Q44" s="511"/>
    </row>
    <row r="45" spans="1:17" ht="15">
      <c r="A45" s="504">
        <v>1190</v>
      </c>
      <c r="B45" s="500">
        <v>17546</v>
      </c>
      <c r="C45" s="503">
        <v>44538</v>
      </c>
      <c r="D45" s="491" t="s">
        <v>472</v>
      </c>
      <c r="E45" s="518">
        <v>0</v>
      </c>
      <c r="F45" s="518">
        <v>186.18</v>
      </c>
      <c r="G45" s="518">
        <v>0</v>
      </c>
      <c r="H45" s="518">
        <v>0</v>
      </c>
      <c r="I45" s="518">
        <v>0</v>
      </c>
      <c r="J45" s="518">
        <v>0</v>
      </c>
      <c r="K45" s="518">
        <v>0</v>
      </c>
      <c r="L45" s="560">
        <v>186.18</v>
      </c>
      <c r="M45" s="494" t="s">
        <v>529</v>
      </c>
      <c r="N45" s="511"/>
      <c r="O45" s="511"/>
      <c r="P45" s="511"/>
      <c r="Q45" s="511"/>
    </row>
    <row r="46" spans="1:17" ht="12.75">
      <c r="A46" s="504">
        <v>1191</v>
      </c>
      <c r="B46" s="500">
        <v>17547</v>
      </c>
      <c r="C46" s="503">
        <v>44538</v>
      </c>
      <c r="D46" s="500" t="s">
        <v>369</v>
      </c>
      <c r="E46" s="518">
        <v>0</v>
      </c>
      <c r="F46" s="518">
        <v>694.2</v>
      </c>
      <c r="G46" s="518">
        <v>1200</v>
      </c>
      <c r="H46" s="518">
        <v>0</v>
      </c>
      <c r="I46" s="518">
        <v>0</v>
      </c>
      <c r="J46" s="518">
        <v>0</v>
      </c>
      <c r="K46" s="518">
        <v>0</v>
      </c>
      <c r="L46" s="560">
        <v>1894.2</v>
      </c>
      <c r="M46" s="494" t="s">
        <v>384</v>
      </c>
      <c r="N46" s="511"/>
      <c r="O46" s="511"/>
      <c r="P46" s="511"/>
      <c r="Q46" s="511"/>
    </row>
    <row r="47" spans="1:17" ht="12.75">
      <c r="A47" s="504">
        <v>1192</v>
      </c>
      <c r="B47" s="500">
        <v>17548</v>
      </c>
      <c r="C47" s="503">
        <v>44538</v>
      </c>
      <c r="D47" s="500" t="s">
        <v>369</v>
      </c>
      <c r="E47" s="518">
        <v>0</v>
      </c>
      <c r="F47" s="518">
        <v>589.65</v>
      </c>
      <c r="G47" s="518">
        <v>600</v>
      </c>
      <c r="H47" s="518">
        <v>0</v>
      </c>
      <c r="I47" s="518">
        <v>0</v>
      </c>
      <c r="J47" s="518">
        <v>0</v>
      </c>
      <c r="K47" s="518">
        <v>0</v>
      </c>
      <c r="L47" s="560">
        <v>1189.65</v>
      </c>
      <c r="M47" s="494" t="s">
        <v>518</v>
      </c>
      <c r="N47" s="511"/>
      <c r="O47" s="511"/>
      <c r="P47" s="511"/>
      <c r="Q47" s="511"/>
    </row>
    <row r="48" spans="1:17" ht="12.75">
      <c r="A48" s="504">
        <v>1193</v>
      </c>
      <c r="B48" s="500">
        <v>17549</v>
      </c>
      <c r="C48" s="503">
        <v>44538</v>
      </c>
      <c r="D48" s="500" t="s">
        <v>369</v>
      </c>
      <c r="E48" s="518">
        <v>0</v>
      </c>
      <c r="F48" s="518">
        <v>214.83</v>
      </c>
      <c r="G48" s="518">
        <v>0</v>
      </c>
      <c r="H48" s="518">
        <v>0</v>
      </c>
      <c r="I48" s="518">
        <v>0</v>
      </c>
      <c r="J48" s="518">
        <v>0</v>
      </c>
      <c r="K48" s="518">
        <v>0</v>
      </c>
      <c r="L48" s="560">
        <v>214.83</v>
      </c>
      <c r="M48" s="494" t="s">
        <v>530</v>
      </c>
      <c r="N48" s="511"/>
      <c r="O48" s="511"/>
      <c r="P48" s="511"/>
      <c r="Q48" s="511"/>
    </row>
    <row r="49" spans="1:17" ht="12.75">
      <c r="A49" s="504">
        <v>1194</v>
      </c>
      <c r="B49" s="500">
        <v>17550</v>
      </c>
      <c r="C49" s="503">
        <v>44538</v>
      </c>
      <c r="D49" s="500" t="s">
        <v>369</v>
      </c>
      <c r="E49" s="518">
        <v>0</v>
      </c>
      <c r="F49" s="518">
        <v>214.83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60">
        <v>214.83</v>
      </c>
      <c r="M49" s="494" t="s">
        <v>516</v>
      </c>
      <c r="N49" s="511"/>
      <c r="O49" s="511"/>
      <c r="P49" s="511"/>
      <c r="Q49" s="511"/>
    </row>
    <row r="50" spans="1:17" ht="12.75">
      <c r="A50" s="504">
        <v>1195</v>
      </c>
      <c r="B50" s="500">
        <v>17551</v>
      </c>
      <c r="C50" s="503">
        <v>44538</v>
      </c>
      <c r="D50" s="500" t="s">
        <v>369</v>
      </c>
      <c r="E50" s="518">
        <v>0</v>
      </c>
      <c r="F50" s="518">
        <v>214.83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60">
        <v>214.83</v>
      </c>
      <c r="M50" s="494" t="s">
        <v>380</v>
      </c>
      <c r="N50" s="511"/>
      <c r="O50" s="511"/>
      <c r="P50" s="511"/>
      <c r="Q50" s="511"/>
    </row>
    <row r="51" spans="1:17" ht="12.75">
      <c r="A51" s="504">
        <v>1196</v>
      </c>
      <c r="B51" s="500">
        <v>17552</v>
      </c>
      <c r="C51" s="503">
        <v>44538</v>
      </c>
      <c r="D51" s="500" t="s">
        <v>369</v>
      </c>
      <c r="E51" s="518">
        <v>0</v>
      </c>
      <c r="F51" s="518">
        <v>214.83</v>
      </c>
      <c r="G51" s="518">
        <v>0</v>
      </c>
      <c r="H51" s="518">
        <v>0</v>
      </c>
      <c r="I51" s="518">
        <v>0</v>
      </c>
      <c r="J51" s="518">
        <v>0</v>
      </c>
      <c r="K51" s="518">
        <v>0</v>
      </c>
      <c r="L51" s="560">
        <v>214.83</v>
      </c>
      <c r="M51" s="494" t="s">
        <v>416</v>
      </c>
      <c r="N51" s="511"/>
      <c r="O51" s="511"/>
      <c r="P51" s="511"/>
      <c r="Q51" s="511"/>
    </row>
    <row r="52" spans="1:17" ht="15">
      <c r="A52" s="504">
        <v>1197</v>
      </c>
      <c r="B52" s="491">
        <v>17553</v>
      </c>
      <c r="C52" s="503">
        <v>44538</v>
      </c>
      <c r="D52" s="491" t="s">
        <v>369</v>
      </c>
      <c r="E52" s="559">
        <v>0</v>
      </c>
      <c r="F52" s="559">
        <v>214.83</v>
      </c>
      <c r="G52" s="559">
        <v>0</v>
      </c>
      <c r="H52" s="559">
        <v>0</v>
      </c>
      <c r="I52" s="559">
        <v>0</v>
      </c>
      <c r="J52" s="559">
        <v>0</v>
      </c>
      <c r="K52" s="559">
        <v>0</v>
      </c>
      <c r="L52" s="560">
        <v>214.83</v>
      </c>
      <c r="M52" s="494" t="s">
        <v>475</v>
      </c>
      <c r="N52" s="511"/>
      <c r="O52" s="511"/>
      <c r="P52" s="511"/>
      <c r="Q52" s="511"/>
    </row>
    <row r="53" spans="1:17" ht="12.75">
      <c r="A53" s="504">
        <v>1198</v>
      </c>
      <c r="B53" s="500">
        <v>17554</v>
      </c>
      <c r="C53" s="503">
        <v>44538</v>
      </c>
      <c r="D53" s="500" t="s">
        <v>440</v>
      </c>
      <c r="E53" s="518">
        <v>0</v>
      </c>
      <c r="F53" s="518">
        <v>903.91</v>
      </c>
      <c r="G53" s="518">
        <v>1200</v>
      </c>
      <c r="H53" s="518">
        <v>0</v>
      </c>
      <c r="I53" s="518">
        <v>82.8</v>
      </c>
      <c r="J53" s="518">
        <v>0</v>
      </c>
      <c r="K53" s="518">
        <v>0</v>
      </c>
      <c r="L53" s="560">
        <v>2186.71</v>
      </c>
      <c r="M53" s="494" t="s">
        <v>511</v>
      </c>
      <c r="N53" s="511"/>
      <c r="O53" s="511"/>
      <c r="P53" s="511"/>
      <c r="Q53" s="511"/>
    </row>
    <row r="54" spans="1:17" ht="12.75">
      <c r="A54" s="504">
        <v>1199</v>
      </c>
      <c r="B54" s="500">
        <v>17555</v>
      </c>
      <c r="C54" s="503">
        <v>44538</v>
      </c>
      <c r="D54" s="500" t="s">
        <v>379</v>
      </c>
      <c r="E54" s="518">
        <v>0</v>
      </c>
      <c r="F54" s="518">
        <v>0</v>
      </c>
      <c r="G54" s="518">
        <v>701.63</v>
      </c>
      <c r="H54" s="518">
        <v>0</v>
      </c>
      <c r="I54" s="518">
        <v>0</v>
      </c>
      <c r="J54" s="518">
        <v>0</v>
      </c>
      <c r="K54" s="518">
        <v>0</v>
      </c>
      <c r="L54" s="560">
        <v>701.63</v>
      </c>
      <c r="M54" s="494" t="s">
        <v>531</v>
      </c>
      <c r="N54" s="511"/>
      <c r="O54" s="511"/>
      <c r="P54" s="511"/>
      <c r="Q54" s="511"/>
    </row>
    <row r="55" spans="1:17" ht="15">
      <c r="A55" s="493">
        <v>1200</v>
      </c>
      <c r="B55" s="491">
        <v>17556</v>
      </c>
      <c r="C55" s="503">
        <v>44538</v>
      </c>
      <c r="D55" s="491" t="s">
        <v>374</v>
      </c>
      <c r="E55" s="559">
        <v>0</v>
      </c>
      <c r="F55" s="559">
        <v>0</v>
      </c>
      <c r="G55" s="559">
        <v>0</v>
      </c>
      <c r="H55" s="559">
        <v>152.66</v>
      </c>
      <c r="I55" s="559">
        <v>0</v>
      </c>
      <c r="J55" s="559">
        <v>0</v>
      </c>
      <c r="K55" s="559">
        <v>0</v>
      </c>
      <c r="L55" s="560">
        <v>152.66</v>
      </c>
      <c r="M55" s="494" t="s">
        <v>532</v>
      </c>
      <c r="N55" s="511"/>
      <c r="O55" s="511"/>
      <c r="P55" s="511"/>
      <c r="Q55" s="511"/>
    </row>
    <row r="56" spans="1:17" ht="12.75">
      <c r="A56" s="504">
        <v>1201</v>
      </c>
      <c r="B56" s="500">
        <v>17557</v>
      </c>
      <c r="C56" s="503">
        <v>44538</v>
      </c>
      <c r="D56" s="500" t="s">
        <v>374</v>
      </c>
      <c r="E56" s="518">
        <v>0</v>
      </c>
      <c r="F56" s="518">
        <v>0</v>
      </c>
      <c r="G56" s="518">
        <v>0</v>
      </c>
      <c r="H56" s="518">
        <v>5664.23</v>
      </c>
      <c r="I56" s="518">
        <v>0</v>
      </c>
      <c r="J56" s="518">
        <v>0</v>
      </c>
      <c r="K56" s="518">
        <v>0</v>
      </c>
      <c r="L56" s="560">
        <v>5664.23</v>
      </c>
      <c r="M56" s="494" t="s">
        <v>533</v>
      </c>
      <c r="N56" s="513"/>
      <c r="O56" s="511"/>
      <c r="P56" s="511"/>
      <c r="Q56" s="511"/>
    </row>
    <row r="57" spans="1:17" ht="12.75">
      <c r="A57" s="504">
        <v>1202</v>
      </c>
      <c r="B57" s="500">
        <v>17558</v>
      </c>
      <c r="C57" s="503">
        <v>44539</v>
      </c>
      <c r="D57" s="500" t="s">
        <v>415</v>
      </c>
      <c r="E57" s="518">
        <v>0</v>
      </c>
      <c r="F57" s="518">
        <v>1977.47</v>
      </c>
      <c r="G57" s="518">
        <v>0</v>
      </c>
      <c r="H57" s="518">
        <v>0</v>
      </c>
      <c r="I57" s="518">
        <v>0</v>
      </c>
      <c r="J57" s="518">
        <v>0</v>
      </c>
      <c r="K57" s="518">
        <v>0</v>
      </c>
      <c r="L57" s="560">
        <v>1977.47</v>
      </c>
      <c r="M57" s="494" t="s">
        <v>474</v>
      </c>
      <c r="N57" s="511"/>
      <c r="O57" s="511"/>
      <c r="P57" s="511"/>
      <c r="Q57" s="511"/>
    </row>
    <row r="58" spans="1:17" ht="12.75">
      <c r="A58" s="547">
        <v>1203</v>
      </c>
      <c r="B58" s="545"/>
      <c r="C58" s="544">
        <v>44539</v>
      </c>
      <c r="D58" s="545" t="s">
        <v>534</v>
      </c>
      <c r="E58" s="557">
        <v>0</v>
      </c>
      <c r="F58" s="557">
        <v>0</v>
      </c>
      <c r="G58" s="557">
        <v>0</v>
      </c>
      <c r="H58" s="557">
        <v>0</v>
      </c>
      <c r="I58" s="557">
        <v>0</v>
      </c>
      <c r="J58" s="557">
        <v>0</v>
      </c>
      <c r="K58" s="557">
        <v>0</v>
      </c>
      <c r="L58" s="561" t="s">
        <v>441</v>
      </c>
      <c r="M58" s="546" t="s">
        <v>372</v>
      </c>
      <c r="N58" s="511"/>
      <c r="O58" s="511"/>
      <c r="P58" s="511"/>
      <c r="Q58" s="511"/>
    </row>
    <row r="59" spans="1:17" ht="12.75">
      <c r="A59" s="504">
        <v>1204</v>
      </c>
      <c r="B59" s="500">
        <v>17559</v>
      </c>
      <c r="C59" s="503">
        <v>44539</v>
      </c>
      <c r="D59" s="500" t="s">
        <v>477</v>
      </c>
      <c r="E59" s="518">
        <v>9391.52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0</v>
      </c>
      <c r="L59" s="560">
        <v>9391.52</v>
      </c>
      <c r="M59" s="494" t="s">
        <v>535</v>
      </c>
      <c r="N59" s="511"/>
      <c r="O59" s="511"/>
      <c r="P59" s="511"/>
      <c r="Q59" s="511"/>
    </row>
    <row r="60" spans="1:17" ht="12.75">
      <c r="A60" s="504">
        <v>1205</v>
      </c>
      <c r="B60" s="500">
        <v>17560</v>
      </c>
      <c r="C60" s="503">
        <v>44539</v>
      </c>
      <c r="D60" s="500" t="s">
        <v>440</v>
      </c>
      <c r="E60" s="518">
        <v>0</v>
      </c>
      <c r="F60" s="518">
        <v>236.36</v>
      </c>
      <c r="G60" s="518">
        <v>600</v>
      </c>
      <c r="H60" s="518">
        <v>0</v>
      </c>
      <c r="I60" s="518">
        <v>20.7</v>
      </c>
      <c r="J60" s="518">
        <v>0</v>
      </c>
      <c r="K60" s="518">
        <v>0</v>
      </c>
      <c r="L60" s="560">
        <v>857.06</v>
      </c>
      <c r="M60" s="494" t="s">
        <v>536</v>
      </c>
      <c r="N60" s="511"/>
      <c r="O60" s="511"/>
      <c r="P60" s="511"/>
      <c r="Q60" s="511"/>
    </row>
    <row r="61" spans="1:17" ht="12.75">
      <c r="A61" s="504">
        <v>1206</v>
      </c>
      <c r="B61" s="500">
        <v>17561</v>
      </c>
      <c r="C61" s="503">
        <v>44539</v>
      </c>
      <c r="D61" s="500" t="s">
        <v>477</v>
      </c>
      <c r="E61" s="518">
        <v>3795</v>
      </c>
      <c r="F61" s="518">
        <v>0</v>
      </c>
      <c r="G61" s="518">
        <v>0</v>
      </c>
      <c r="H61" s="518">
        <v>0</v>
      </c>
      <c r="I61" s="518">
        <v>0</v>
      </c>
      <c r="J61" s="518">
        <v>0</v>
      </c>
      <c r="K61" s="518">
        <v>0</v>
      </c>
      <c r="L61" s="560">
        <v>3795</v>
      </c>
      <c r="M61" s="494" t="s">
        <v>537</v>
      </c>
      <c r="N61" s="511"/>
      <c r="O61" s="511"/>
      <c r="P61" s="511"/>
      <c r="Q61" s="511"/>
    </row>
    <row r="62" spans="1:17" ht="12.75">
      <c r="A62" s="504">
        <v>1207</v>
      </c>
      <c r="B62" s="500">
        <v>17562</v>
      </c>
      <c r="C62" s="503">
        <v>44539</v>
      </c>
      <c r="D62" s="500" t="s">
        <v>371</v>
      </c>
      <c r="E62" s="518">
        <v>0</v>
      </c>
      <c r="F62" s="518">
        <v>34454.75</v>
      </c>
      <c r="G62" s="518">
        <v>0</v>
      </c>
      <c r="H62" s="518">
        <v>0</v>
      </c>
      <c r="I62" s="518">
        <v>0</v>
      </c>
      <c r="J62" s="518">
        <v>0</v>
      </c>
      <c r="K62" s="518">
        <v>0</v>
      </c>
      <c r="L62" s="560">
        <v>34454.75</v>
      </c>
      <c r="M62" s="494" t="s">
        <v>538</v>
      </c>
      <c r="N62" s="511"/>
      <c r="O62" s="511"/>
      <c r="P62" s="511"/>
      <c r="Q62" s="511"/>
    </row>
    <row r="63" spans="1:17" ht="12.75">
      <c r="A63" s="504">
        <v>1208</v>
      </c>
      <c r="B63" s="500">
        <v>17563</v>
      </c>
      <c r="C63" s="503">
        <v>44539</v>
      </c>
      <c r="D63" s="500" t="s">
        <v>371</v>
      </c>
      <c r="E63" s="518">
        <v>12281.4</v>
      </c>
      <c r="F63" s="518">
        <v>0</v>
      </c>
      <c r="G63" s="518">
        <v>0</v>
      </c>
      <c r="H63" s="518">
        <v>0</v>
      </c>
      <c r="I63" s="518">
        <v>0</v>
      </c>
      <c r="J63" s="518">
        <v>0</v>
      </c>
      <c r="K63" s="518">
        <v>0</v>
      </c>
      <c r="L63" s="560">
        <v>12281.4</v>
      </c>
      <c r="M63" s="494" t="s">
        <v>539</v>
      </c>
      <c r="N63" s="511"/>
      <c r="O63" s="511"/>
      <c r="P63" s="511"/>
      <c r="Q63" s="511"/>
    </row>
    <row r="64" spans="1:17" ht="12.75">
      <c r="A64" s="504">
        <v>1209</v>
      </c>
      <c r="B64" s="500">
        <v>17564</v>
      </c>
      <c r="C64" s="503">
        <v>44539</v>
      </c>
      <c r="D64" s="500" t="s">
        <v>382</v>
      </c>
      <c r="E64" s="518">
        <v>1129299.99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60">
        <v>1129299.99</v>
      </c>
      <c r="M64" s="494" t="s">
        <v>540</v>
      </c>
      <c r="N64" s="511"/>
      <c r="O64" s="511"/>
      <c r="P64" s="511"/>
      <c r="Q64" s="511"/>
    </row>
    <row r="65" spans="1:17" ht="12.75">
      <c r="A65" s="504">
        <v>1210</v>
      </c>
      <c r="B65" s="500">
        <v>17565</v>
      </c>
      <c r="C65" s="503">
        <v>44540</v>
      </c>
      <c r="D65" s="500" t="s">
        <v>375</v>
      </c>
      <c r="E65" s="518">
        <v>0</v>
      </c>
      <c r="F65" s="518">
        <v>0</v>
      </c>
      <c r="G65" s="518">
        <v>47651</v>
      </c>
      <c r="H65" s="518">
        <v>0</v>
      </c>
      <c r="I65" s="518">
        <v>0</v>
      </c>
      <c r="J65" s="518">
        <v>0</v>
      </c>
      <c r="K65" s="518">
        <v>0</v>
      </c>
      <c r="L65" s="560">
        <v>47651</v>
      </c>
      <c r="M65" s="494" t="s">
        <v>541</v>
      </c>
      <c r="N65" s="511"/>
      <c r="O65" s="511"/>
      <c r="P65" s="511"/>
      <c r="Q65" s="511"/>
    </row>
    <row r="66" spans="1:17" ht="12.75">
      <c r="A66" s="504">
        <v>1211</v>
      </c>
      <c r="B66" s="500">
        <v>17566</v>
      </c>
      <c r="C66" s="503">
        <v>44540</v>
      </c>
      <c r="D66" s="500" t="s">
        <v>375</v>
      </c>
      <c r="E66" s="518">
        <v>0</v>
      </c>
      <c r="F66" s="518">
        <v>0</v>
      </c>
      <c r="G66" s="518">
        <v>0</v>
      </c>
      <c r="H66" s="518">
        <v>0</v>
      </c>
      <c r="I66" s="518">
        <v>3611.44</v>
      </c>
      <c r="J66" s="518">
        <v>0</v>
      </c>
      <c r="K66" s="518">
        <v>0</v>
      </c>
      <c r="L66" s="560">
        <v>3611.44</v>
      </c>
      <c r="M66" s="494" t="s">
        <v>542</v>
      </c>
      <c r="N66" s="511"/>
      <c r="O66" s="511"/>
      <c r="P66" s="511"/>
      <c r="Q66" s="511"/>
    </row>
    <row r="67" spans="1:17" ht="12.75">
      <c r="A67" s="504">
        <v>1212</v>
      </c>
      <c r="B67" s="500">
        <v>17567</v>
      </c>
      <c r="C67" s="503">
        <v>44540</v>
      </c>
      <c r="D67" s="500" t="s">
        <v>472</v>
      </c>
      <c r="E67" s="518">
        <v>0</v>
      </c>
      <c r="F67" s="518">
        <v>665.57</v>
      </c>
      <c r="G67" s="518">
        <v>753.14</v>
      </c>
      <c r="H67" s="518">
        <v>0</v>
      </c>
      <c r="I67" s="518">
        <v>0</v>
      </c>
      <c r="J67" s="518">
        <v>0</v>
      </c>
      <c r="K67" s="518">
        <v>0</v>
      </c>
      <c r="L67" s="560">
        <v>1418.71</v>
      </c>
      <c r="M67" s="494" t="s">
        <v>478</v>
      </c>
      <c r="N67" s="513"/>
      <c r="O67" s="511"/>
      <c r="P67" s="511"/>
      <c r="Q67" s="511"/>
    </row>
    <row r="68" spans="1:17" ht="12.75">
      <c r="A68" s="504">
        <v>1213</v>
      </c>
      <c r="B68" s="500">
        <v>17568</v>
      </c>
      <c r="C68" s="503">
        <v>44540</v>
      </c>
      <c r="D68" s="500" t="s">
        <v>472</v>
      </c>
      <c r="E68" s="518">
        <v>0</v>
      </c>
      <c r="F68" s="518">
        <v>214.83</v>
      </c>
      <c r="G68" s="518">
        <v>0</v>
      </c>
      <c r="H68" s="518">
        <v>0</v>
      </c>
      <c r="I68" s="518">
        <v>0</v>
      </c>
      <c r="J68" s="518">
        <v>0</v>
      </c>
      <c r="K68" s="518">
        <v>0</v>
      </c>
      <c r="L68" s="560">
        <v>214.83</v>
      </c>
      <c r="M68" s="494" t="s">
        <v>510</v>
      </c>
      <c r="N68" s="511"/>
      <c r="O68" s="511"/>
      <c r="P68" s="511"/>
      <c r="Q68" s="511"/>
    </row>
    <row r="69" spans="1:17" ht="12.75">
      <c r="A69" s="504">
        <v>1214</v>
      </c>
      <c r="B69" s="500">
        <v>17569</v>
      </c>
      <c r="C69" s="503">
        <v>44540</v>
      </c>
      <c r="D69" s="500" t="s">
        <v>437</v>
      </c>
      <c r="E69" s="518">
        <v>0</v>
      </c>
      <c r="F69" s="518">
        <v>184.14</v>
      </c>
      <c r="G69" s="518">
        <v>600</v>
      </c>
      <c r="H69" s="518">
        <v>0</v>
      </c>
      <c r="I69" s="518">
        <v>20.7</v>
      </c>
      <c r="J69" s="518">
        <v>0</v>
      </c>
      <c r="K69" s="518">
        <v>0</v>
      </c>
      <c r="L69" s="560">
        <v>804.84</v>
      </c>
      <c r="M69" s="494" t="s">
        <v>543</v>
      </c>
      <c r="N69" s="511"/>
      <c r="O69" s="511"/>
      <c r="P69" s="511"/>
      <c r="Q69" s="511"/>
    </row>
    <row r="70" spans="1:17" ht="12.75">
      <c r="A70" s="504">
        <v>1215</v>
      </c>
      <c r="B70" s="500">
        <v>17570</v>
      </c>
      <c r="C70" s="503">
        <v>44543</v>
      </c>
      <c r="D70" s="500" t="s">
        <v>480</v>
      </c>
      <c r="E70" s="518">
        <v>0</v>
      </c>
      <c r="F70" s="518">
        <v>10285</v>
      </c>
      <c r="G70" s="518">
        <v>0</v>
      </c>
      <c r="H70" s="518">
        <v>0</v>
      </c>
      <c r="I70" s="518">
        <v>0</v>
      </c>
      <c r="J70" s="518">
        <v>0</v>
      </c>
      <c r="K70" s="518">
        <v>0</v>
      </c>
      <c r="L70" s="560">
        <v>10285</v>
      </c>
      <c r="M70" s="494" t="s">
        <v>544</v>
      </c>
      <c r="N70" s="511"/>
      <c r="O70" s="511"/>
      <c r="P70" s="511"/>
      <c r="Q70" s="511"/>
    </row>
    <row r="71" spans="1:17" ht="12.75">
      <c r="A71" s="504">
        <v>1216</v>
      </c>
      <c r="B71" s="500">
        <v>17571</v>
      </c>
      <c r="C71" s="503">
        <v>44543</v>
      </c>
      <c r="D71" s="500" t="s">
        <v>545</v>
      </c>
      <c r="E71" s="518">
        <v>4602.9</v>
      </c>
      <c r="F71" s="518">
        <v>0</v>
      </c>
      <c r="G71" s="518">
        <v>14177.28</v>
      </c>
      <c r="H71" s="518">
        <v>0</v>
      </c>
      <c r="I71" s="518">
        <v>0</v>
      </c>
      <c r="J71" s="518">
        <v>0</v>
      </c>
      <c r="K71" s="518">
        <v>0</v>
      </c>
      <c r="L71" s="560">
        <v>18780.18</v>
      </c>
      <c r="M71" s="494" t="s">
        <v>546</v>
      </c>
      <c r="N71" s="511"/>
      <c r="O71" s="511"/>
      <c r="P71" s="511"/>
      <c r="Q71" s="511"/>
    </row>
    <row r="72" spans="1:17" ht="12.75">
      <c r="A72" s="504">
        <v>1217</v>
      </c>
      <c r="B72" s="500">
        <v>17572</v>
      </c>
      <c r="C72" s="503">
        <v>44543</v>
      </c>
      <c r="D72" s="500" t="s">
        <v>371</v>
      </c>
      <c r="E72" s="518">
        <v>0</v>
      </c>
      <c r="F72" s="518">
        <v>0</v>
      </c>
      <c r="G72" s="518">
        <v>1500</v>
      </c>
      <c r="H72" s="518">
        <v>0</v>
      </c>
      <c r="I72" s="518">
        <v>0</v>
      </c>
      <c r="J72" s="518">
        <v>0</v>
      </c>
      <c r="K72" s="518">
        <v>0</v>
      </c>
      <c r="L72" s="560">
        <v>1500</v>
      </c>
      <c r="M72" s="494" t="s">
        <v>547</v>
      </c>
      <c r="N72" s="511"/>
      <c r="O72" s="511"/>
      <c r="P72" s="511"/>
      <c r="Q72" s="511"/>
    </row>
    <row r="73" spans="1:17" ht="12.75">
      <c r="A73" s="504">
        <v>1218</v>
      </c>
      <c r="B73" s="500">
        <v>17573</v>
      </c>
      <c r="C73" s="503">
        <v>44543</v>
      </c>
      <c r="D73" s="500" t="s">
        <v>415</v>
      </c>
      <c r="E73" s="518">
        <v>0</v>
      </c>
      <c r="F73" s="518">
        <v>3138.14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60">
        <v>3138.14</v>
      </c>
      <c r="M73" s="494" t="s">
        <v>474</v>
      </c>
      <c r="N73" s="513"/>
      <c r="O73" s="511"/>
      <c r="P73" s="511"/>
      <c r="Q73" s="511"/>
    </row>
    <row r="74" spans="1:17" ht="12.75">
      <c r="A74" s="504">
        <v>1219</v>
      </c>
      <c r="B74" s="500">
        <v>17574</v>
      </c>
      <c r="C74" s="503">
        <v>44543</v>
      </c>
      <c r="D74" s="500" t="s">
        <v>374</v>
      </c>
      <c r="E74" s="518">
        <v>0</v>
      </c>
      <c r="F74" s="518">
        <v>0</v>
      </c>
      <c r="G74" s="518">
        <v>0</v>
      </c>
      <c r="H74" s="518">
        <v>5720</v>
      </c>
      <c r="I74" s="518">
        <v>0</v>
      </c>
      <c r="J74" s="518">
        <v>0</v>
      </c>
      <c r="K74" s="518">
        <v>0</v>
      </c>
      <c r="L74" s="560">
        <v>5720</v>
      </c>
      <c r="M74" s="494" t="s">
        <v>548</v>
      </c>
      <c r="N74" s="511"/>
      <c r="O74" s="511"/>
      <c r="P74" s="511"/>
      <c r="Q74" s="511"/>
    </row>
    <row r="75" spans="1:17" ht="12.75">
      <c r="A75" s="504">
        <v>1220</v>
      </c>
      <c r="B75" s="500">
        <v>17575</v>
      </c>
      <c r="C75" s="503">
        <v>44543</v>
      </c>
      <c r="D75" s="500" t="s">
        <v>379</v>
      </c>
      <c r="E75" s="518">
        <v>0</v>
      </c>
      <c r="F75" s="518">
        <v>0</v>
      </c>
      <c r="G75" s="518">
        <v>2468.42</v>
      </c>
      <c r="H75" s="518">
        <v>0</v>
      </c>
      <c r="I75" s="518">
        <v>0</v>
      </c>
      <c r="J75" s="518">
        <v>0</v>
      </c>
      <c r="K75" s="518">
        <v>0</v>
      </c>
      <c r="L75" s="560">
        <v>2468.42</v>
      </c>
      <c r="M75" s="494" t="s">
        <v>474</v>
      </c>
      <c r="N75" s="511"/>
      <c r="O75" s="511"/>
      <c r="P75" s="511"/>
      <c r="Q75" s="511"/>
    </row>
    <row r="76" spans="1:17" ht="15">
      <c r="A76" s="493">
        <v>1221</v>
      </c>
      <c r="B76" s="491">
        <v>17576</v>
      </c>
      <c r="C76" s="503">
        <v>44543</v>
      </c>
      <c r="D76" s="500" t="s">
        <v>437</v>
      </c>
      <c r="E76" s="559">
        <v>0</v>
      </c>
      <c r="F76" s="559">
        <v>306.9</v>
      </c>
      <c r="G76" s="559">
        <v>600</v>
      </c>
      <c r="H76" s="559">
        <v>0</v>
      </c>
      <c r="I76" s="559">
        <v>20.7</v>
      </c>
      <c r="J76" s="559">
        <v>0</v>
      </c>
      <c r="K76" s="559">
        <v>0</v>
      </c>
      <c r="L76" s="560">
        <v>927.6</v>
      </c>
      <c r="M76" s="494" t="s">
        <v>549</v>
      </c>
      <c r="N76" s="511"/>
      <c r="O76" s="511"/>
      <c r="P76" s="511"/>
      <c r="Q76" s="511"/>
    </row>
    <row r="77" spans="1:17" ht="12.75">
      <c r="A77" s="504">
        <v>1222</v>
      </c>
      <c r="B77" s="500">
        <v>17577</v>
      </c>
      <c r="C77" s="503">
        <v>44543</v>
      </c>
      <c r="D77" s="500" t="s">
        <v>472</v>
      </c>
      <c r="E77" s="518">
        <v>2175</v>
      </c>
      <c r="F77" s="518">
        <v>2618.88</v>
      </c>
      <c r="G77" s="518">
        <v>600</v>
      </c>
      <c r="H77" s="518">
        <v>0</v>
      </c>
      <c r="I77" s="518">
        <v>0</v>
      </c>
      <c r="J77" s="518">
        <v>0</v>
      </c>
      <c r="K77" s="518">
        <v>0</v>
      </c>
      <c r="L77" s="560">
        <v>5393.88</v>
      </c>
      <c r="M77" s="494" t="s">
        <v>476</v>
      </c>
      <c r="N77" s="511"/>
      <c r="O77" s="511"/>
      <c r="P77" s="511"/>
      <c r="Q77" s="511"/>
    </row>
    <row r="78" spans="1:17" ht="15">
      <c r="A78" s="504">
        <v>1223</v>
      </c>
      <c r="B78" s="491">
        <v>17578</v>
      </c>
      <c r="C78" s="503">
        <v>44543</v>
      </c>
      <c r="D78" s="491" t="s">
        <v>437</v>
      </c>
      <c r="E78" s="518">
        <v>0</v>
      </c>
      <c r="F78" s="518">
        <v>531.96</v>
      </c>
      <c r="G78" s="518">
        <v>1200</v>
      </c>
      <c r="H78" s="518">
        <v>0</v>
      </c>
      <c r="I78" s="518">
        <v>41.4</v>
      </c>
      <c r="J78" s="518">
        <v>0</v>
      </c>
      <c r="K78" s="518">
        <v>0</v>
      </c>
      <c r="L78" s="560">
        <v>1773.36</v>
      </c>
      <c r="M78" s="494" t="s">
        <v>474</v>
      </c>
      <c r="N78" s="511"/>
      <c r="O78" s="511"/>
      <c r="P78" s="511"/>
      <c r="Q78" s="511"/>
    </row>
    <row r="79" spans="1:17" ht="12.75">
      <c r="A79" s="504">
        <v>1224</v>
      </c>
      <c r="B79" s="500">
        <v>17579</v>
      </c>
      <c r="C79" s="503">
        <v>44543</v>
      </c>
      <c r="D79" s="500" t="s">
        <v>472</v>
      </c>
      <c r="E79" s="518">
        <v>0</v>
      </c>
      <c r="F79" s="518">
        <v>0</v>
      </c>
      <c r="G79" s="518">
        <v>600</v>
      </c>
      <c r="H79" s="518">
        <v>574.56</v>
      </c>
      <c r="I79" s="518">
        <v>0</v>
      </c>
      <c r="J79" s="518">
        <v>0</v>
      </c>
      <c r="K79" s="518">
        <v>0</v>
      </c>
      <c r="L79" s="560">
        <v>1174.56</v>
      </c>
      <c r="M79" s="494" t="s">
        <v>454</v>
      </c>
      <c r="N79" s="511"/>
      <c r="O79" s="511"/>
      <c r="P79" s="511"/>
      <c r="Q79" s="511"/>
    </row>
    <row r="80" spans="1:17" ht="12.75">
      <c r="A80" s="504">
        <v>1225</v>
      </c>
      <c r="B80" s="500">
        <v>17580</v>
      </c>
      <c r="C80" s="503">
        <v>44543</v>
      </c>
      <c r="D80" s="500" t="s">
        <v>472</v>
      </c>
      <c r="E80" s="518">
        <v>8267.5</v>
      </c>
      <c r="F80" s="518">
        <v>0</v>
      </c>
      <c r="G80" s="518">
        <v>0</v>
      </c>
      <c r="H80" s="518">
        <v>0</v>
      </c>
      <c r="I80" s="518">
        <v>0</v>
      </c>
      <c r="J80" s="518">
        <v>0</v>
      </c>
      <c r="K80" s="518">
        <v>0</v>
      </c>
      <c r="L80" s="560">
        <v>8267.5</v>
      </c>
      <c r="M80" s="494" t="s">
        <v>550</v>
      </c>
      <c r="N80" s="511"/>
      <c r="O80" s="511"/>
      <c r="P80" s="511"/>
      <c r="Q80" s="511"/>
    </row>
    <row r="81" spans="1:17" ht="12.75">
      <c r="A81" s="504">
        <v>1226</v>
      </c>
      <c r="B81" s="500">
        <v>17581</v>
      </c>
      <c r="C81" s="503">
        <v>44543</v>
      </c>
      <c r="D81" s="500" t="s">
        <v>369</v>
      </c>
      <c r="E81" s="518">
        <v>0</v>
      </c>
      <c r="F81" s="518">
        <v>909.04</v>
      </c>
      <c r="G81" s="518">
        <v>600</v>
      </c>
      <c r="H81" s="518">
        <v>0</v>
      </c>
      <c r="I81" s="518">
        <v>0</v>
      </c>
      <c r="J81" s="518">
        <v>0</v>
      </c>
      <c r="K81" s="518">
        <v>0</v>
      </c>
      <c r="L81" s="560">
        <v>1509.04</v>
      </c>
      <c r="M81" s="494" t="s">
        <v>413</v>
      </c>
      <c r="N81" s="513"/>
      <c r="O81" s="511"/>
      <c r="P81" s="511"/>
      <c r="Q81" s="511"/>
    </row>
    <row r="82" spans="1:17" ht="12.75">
      <c r="A82" s="504">
        <v>1227</v>
      </c>
      <c r="B82" s="500">
        <v>17582</v>
      </c>
      <c r="C82" s="503">
        <v>44543</v>
      </c>
      <c r="D82" s="500" t="s">
        <v>369</v>
      </c>
      <c r="E82" s="518">
        <v>0</v>
      </c>
      <c r="F82" s="518">
        <v>775.84</v>
      </c>
      <c r="G82" s="518">
        <v>600</v>
      </c>
      <c r="H82" s="518">
        <v>95.76</v>
      </c>
      <c r="I82" s="518">
        <v>0</v>
      </c>
      <c r="J82" s="518">
        <v>0</v>
      </c>
      <c r="K82" s="518">
        <v>0</v>
      </c>
      <c r="L82" s="560">
        <v>1471.6</v>
      </c>
      <c r="M82" s="494" t="s">
        <v>517</v>
      </c>
      <c r="N82" s="511"/>
      <c r="O82" s="511"/>
      <c r="P82" s="511"/>
      <c r="Q82" s="511"/>
    </row>
    <row r="83" spans="1:17" ht="12.75">
      <c r="A83" s="504">
        <v>1228</v>
      </c>
      <c r="B83" s="500">
        <v>17583</v>
      </c>
      <c r="C83" s="503">
        <v>44543</v>
      </c>
      <c r="D83" s="500" t="s">
        <v>369</v>
      </c>
      <c r="E83" s="518">
        <v>0</v>
      </c>
      <c r="F83" s="518">
        <v>833.13</v>
      </c>
      <c r="G83" s="518">
        <v>600</v>
      </c>
      <c r="H83" s="518">
        <v>0</v>
      </c>
      <c r="I83" s="518">
        <v>0</v>
      </c>
      <c r="J83" s="518">
        <v>0</v>
      </c>
      <c r="K83" s="518">
        <v>0</v>
      </c>
      <c r="L83" s="560">
        <v>1433.13</v>
      </c>
      <c r="M83" s="494" t="s">
        <v>455</v>
      </c>
      <c r="N83" s="511"/>
      <c r="O83" s="511"/>
      <c r="P83" s="511"/>
      <c r="Q83" s="511"/>
    </row>
    <row r="84" spans="1:17" ht="12.75">
      <c r="A84" s="504">
        <v>1229</v>
      </c>
      <c r="B84" s="500">
        <v>17584</v>
      </c>
      <c r="C84" s="503">
        <v>44543</v>
      </c>
      <c r="D84" s="500" t="s">
        <v>452</v>
      </c>
      <c r="E84" s="518">
        <v>0</v>
      </c>
      <c r="F84" s="518">
        <v>0</v>
      </c>
      <c r="G84" s="518">
        <v>0</v>
      </c>
      <c r="H84" s="518">
        <v>0</v>
      </c>
      <c r="I84" s="518">
        <v>0</v>
      </c>
      <c r="J84" s="518">
        <v>22500</v>
      </c>
      <c r="K84" s="518">
        <v>0</v>
      </c>
      <c r="L84" s="560">
        <v>22500</v>
      </c>
      <c r="M84" s="494" t="s">
        <v>436</v>
      </c>
      <c r="N84" s="513"/>
      <c r="O84" s="511"/>
      <c r="P84" s="511"/>
      <c r="Q84" s="511"/>
    </row>
    <row r="85" spans="1:17" ht="12.75">
      <c r="A85" s="504">
        <v>1230</v>
      </c>
      <c r="B85" s="500">
        <v>17585</v>
      </c>
      <c r="C85" s="503">
        <v>44543</v>
      </c>
      <c r="D85" s="500" t="s">
        <v>472</v>
      </c>
      <c r="E85" s="518">
        <v>0</v>
      </c>
      <c r="F85" s="518">
        <v>214.83</v>
      </c>
      <c r="G85" s="518">
        <v>0</v>
      </c>
      <c r="H85" s="518">
        <v>0</v>
      </c>
      <c r="I85" s="518">
        <v>0</v>
      </c>
      <c r="J85" s="518">
        <v>0</v>
      </c>
      <c r="K85" s="518">
        <v>0</v>
      </c>
      <c r="L85" s="560">
        <v>214.83</v>
      </c>
      <c r="M85" s="494" t="s">
        <v>510</v>
      </c>
      <c r="N85" s="511"/>
      <c r="O85" s="511"/>
      <c r="P85" s="511"/>
      <c r="Q85" s="511"/>
    </row>
    <row r="86" spans="1:17" ht="12.75">
      <c r="A86" s="504">
        <v>1231</v>
      </c>
      <c r="B86" s="500">
        <v>17586</v>
      </c>
      <c r="C86" s="503">
        <v>44543</v>
      </c>
      <c r="D86" s="500" t="s">
        <v>371</v>
      </c>
      <c r="E86" s="518">
        <v>18886.8</v>
      </c>
      <c r="F86" s="518">
        <v>0</v>
      </c>
      <c r="G86" s="518">
        <v>0</v>
      </c>
      <c r="H86" s="518">
        <v>0</v>
      </c>
      <c r="I86" s="518">
        <v>0</v>
      </c>
      <c r="J86" s="518">
        <v>0</v>
      </c>
      <c r="K86" s="518">
        <v>0</v>
      </c>
      <c r="L86" s="560">
        <v>18886.8</v>
      </c>
      <c r="M86" s="494" t="s">
        <v>551</v>
      </c>
      <c r="N86" s="511"/>
      <c r="O86" s="511"/>
      <c r="P86" s="511"/>
      <c r="Q86" s="511"/>
    </row>
    <row r="87" spans="1:17" ht="12.75">
      <c r="A87" s="504">
        <v>1232</v>
      </c>
      <c r="B87" s="500">
        <v>17587</v>
      </c>
      <c r="C87" s="503">
        <v>44543</v>
      </c>
      <c r="D87" s="500" t="s">
        <v>369</v>
      </c>
      <c r="E87" s="518">
        <v>0</v>
      </c>
      <c r="F87" s="518">
        <v>372.36</v>
      </c>
      <c r="G87" s="518">
        <v>0</v>
      </c>
      <c r="H87" s="518">
        <v>0</v>
      </c>
      <c r="I87" s="518">
        <v>0</v>
      </c>
      <c r="J87" s="518">
        <v>0</v>
      </c>
      <c r="K87" s="518">
        <v>0</v>
      </c>
      <c r="L87" s="560">
        <v>372.36</v>
      </c>
      <c r="M87" s="494" t="s">
        <v>552</v>
      </c>
      <c r="N87" s="511"/>
      <c r="O87" s="511"/>
      <c r="P87" s="511"/>
      <c r="Q87" s="511"/>
    </row>
    <row r="88" spans="1:17" ht="12.75">
      <c r="A88" s="504">
        <v>1233</v>
      </c>
      <c r="B88" s="500">
        <v>17588</v>
      </c>
      <c r="C88" s="503">
        <v>44543</v>
      </c>
      <c r="D88" s="500" t="s">
        <v>371</v>
      </c>
      <c r="E88" s="518">
        <v>0</v>
      </c>
      <c r="F88" s="518">
        <v>23141.25</v>
      </c>
      <c r="G88" s="518">
        <v>0</v>
      </c>
      <c r="H88" s="518">
        <v>0</v>
      </c>
      <c r="I88" s="518">
        <v>0</v>
      </c>
      <c r="J88" s="518">
        <v>0</v>
      </c>
      <c r="K88" s="518">
        <v>0</v>
      </c>
      <c r="L88" s="560">
        <v>23141.25</v>
      </c>
      <c r="M88" s="494" t="s">
        <v>553</v>
      </c>
      <c r="N88" s="511"/>
      <c r="O88" s="511"/>
      <c r="P88" s="511"/>
      <c r="Q88" s="511"/>
    </row>
    <row r="89" spans="1:17" ht="12.75">
      <c r="A89" s="504">
        <v>1234</v>
      </c>
      <c r="B89" s="500">
        <v>17589</v>
      </c>
      <c r="C89" s="503">
        <v>44543</v>
      </c>
      <c r="D89" s="500" t="s">
        <v>369</v>
      </c>
      <c r="E89" s="518">
        <v>0</v>
      </c>
      <c r="F89" s="518">
        <v>401.01</v>
      </c>
      <c r="G89" s="518">
        <v>0</v>
      </c>
      <c r="H89" s="518">
        <v>0</v>
      </c>
      <c r="I89" s="518">
        <v>0</v>
      </c>
      <c r="J89" s="518">
        <v>0</v>
      </c>
      <c r="K89" s="518">
        <v>0</v>
      </c>
      <c r="L89" s="560">
        <v>401.01</v>
      </c>
      <c r="M89" s="494" t="s">
        <v>516</v>
      </c>
      <c r="N89" s="511"/>
      <c r="O89" s="511"/>
      <c r="P89" s="511"/>
      <c r="Q89" s="511"/>
    </row>
    <row r="90" spans="1:17" ht="12.75">
      <c r="A90" s="504">
        <v>1235</v>
      </c>
      <c r="B90" s="500">
        <v>17590</v>
      </c>
      <c r="C90" s="503">
        <v>44543</v>
      </c>
      <c r="D90" s="500" t="s">
        <v>375</v>
      </c>
      <c r="E90" s="518">
        <v>0</v>
      </c>
      <c r="F90" s="518">
        <v>0</v>
      </c>
      <c r="G90" s="518">
        <v>42269.07</v>
      </c>
      <c r="H90" s="518">
        <v>0</v>
      </c>
      <c r="I90" s="518">
        <v>0</v>
      </c>
      <c r="J90" s="518">
        <v>0</v>
      </c>
      <c r="K90" s="518">
        <v>0</v>
      </c>
      <c r="L90" s="560">
        <v>42269.07</v>
      </c>
      <c r="M90" s="494" t="s">
        <v>554</v>
      </c>
      <c r="N90" s="511"/>
      <c r="O90" s="511"/>
      <c r="P90" s="511"/>
      <c r="Q90" s="511"/>
    </row>
    <row r="91" spans="1:17" ht="12.75">
      <c r="A91" s="504">
        <v>1236</v>
      </c>
      <c r="B91" s="500">
        <v>17591</v>
      </c>
      <c r="C91" s="503">
        <v>44543</v>
      </c>
      <c r="D91" s="500" t="s">
        <v>369</v>
      </c>
      <c r="E91" s="518">
        <v>0</v>
      </c>
      <c r="F91" s="518">
        <v>618.3</v>
      </c>
      <c r="G91" s="518">
        <v>600</v>
      </c>
      <c r="H91" s="518">
        <v>0</v>
      </c>
      <c r="I91" s="518">
        <v>0</v>
      </c>
      <c r="J91" s="518">
        <v>0</v>
      </c>
      <c r="K91" s="518">
        <v>0</v>
      </c>
      <c r="L91" s="560">
        <v>1218.3</v>
      </c>
      <c r="M91" s="494" t="s">
        <v>451</v>
      </c>
      <c r="N91" s="511"/>
      <c r="O91" s="511"/>
      <c r="P91" s="511"/>
      <c r="Q91" s="511"/>
    </row>
    <row r="92" spans="1:17" ht="12.75">
      <c r="A92" s="504">
        <v>1237</v>
      </c>
      <c r="B92" s="500">
        <v>17592</v>
      </c>
      <c r="C92" s="503">
        <v>44543</v>
      </c>
      <c r="D92" s="500" t="s">
        <v>371</v>
      </c>
      <c r="E92" s="518">
        <v>0</v>
      </c>
      <c r="F92" s="518">
        <v>0</v>
      </c>
      <c r="G92" s="518">
        <v>1500</v>
      </c>
      <c r="H92" s="518">
        <v>0</v>
      </c>
      <c r="I92" s="518">
        <v>0</v>
      </c>
      <c r="J92" s="518">
        <v>0</v>
      </c>
      <c r="K92" s="518">
        <v>0</v>
      </c>
      <c r="L92" s="560">
        <v>1500</v>
      </c>
      <c r="M92" s="494" t="s">
        <v>555</v>
      </c>
      <c r="N92" s="511"/>
      <c r="O92" s="511"/>
      <c r="P92" s="511"/>
      <c r="Q92" s="511"/>
    </row>
    <row r="93" spans="1:17" ht="12.75">
      <c r="A93" s="504">
        <v>1238</v>
      </c>
      <c r="B93" s="500">
        <v>17593</v>
      </c>
      <c r="C93" s="503">
        <v>44543</v>
      </c>
      <c r="D93" s="500" t="s">
        <v>369</v>
      </c>
      <c r="E93" s="518">
        <v>0</v>
      </c>
      <c r="F93" s="518">
        <v>479.37</v>
      </c>
      <c r="G93" s="518">
        <v>600</v>
      </c>
      <c r="H93" s="518">
        <v>0</v>
      </c>
      <c r="I93" s="518">
        <v>0</v>
      </c>
      <c r="J93" s="518">
        <v>0</v>
      </c>
      <c r="K93" s="518">
        <v>0</v>
      </c>
      <c r="L93" s="560">
        <v>1079.37</v>
      </c>
      <c r="M93" s="494" t="s">
        <v>455</v>
      </c>
      <c r="N93" s="513"/>
      <c r="O93" s="511"/>
      <c r="P93" s="511"/>
      <c r="Q93" s="511"/>
    </row>
    <row r="94" spans="1:17" ht="12.75">
      <c r="A94" s="504">
        <v>1239</v>
      </c>
      <c r="B94" s="500">
        <v>17594</v>
      </c>
      <c r="C94" s="503">
        <v>44543</v>
      </c>
      <c r="D94" s="500" t="s">
        <v>371</v>
      </c>
      <c r="E94" s="518">
        <v>0</v>
      </c>
      <c r="F94" s="518">
        <v>0</v>
      </c>
      <c r="G94" s="518">
        <v>1500</v>
      </c>
      <c r="H94" s="518">
        <v>0</v>
      </c>
      <c r="I94" s="518">
        <v>0</v>
      </c>
      <c r="J94" s="518">
        <v>0</v>
      </c>
      <c r="K94" s="518">
        <v>0</v>
      </c>
      <c r="L94" s="560">
        <v>1500</v>
      </c>
      <c r="M94" s="494" t="s">
        <v>555</v>
      </c>
      <c r="N94" s="511"/>
      <c r="O94" s="511"/>
      <c r="P94" s="511"/>
      <c r="Q94" s="511"/>
    </row>
    <row r="95" spans="1:17" ht="12.75">
      <c r="A95" s="504">
        <v>1240</v>
      </c>
      <c r="B95" s="500">
        <v>17595</v>
      </c>
      <c r="C95" s="503">
        <v>44544</v>
      </c>
      <c r="D95" s="500" t="s">
        <v>369</v>
      </c>
      <c r="E95" s="518">
        <v>0</v>
      </c>
      <c r="F95" s="518">
        <v>618.3</v>
      </c>
      <c r="G95" s="518">
        <v>600</v>
      </c>
      <c r="H95" s="518">
        <v>0</v>
      </c>
      <c r="I95" s="518">
        <v>0</v>
      </c>
      <c r="J95" s="518">
        <v>0</v>
      </c>
      <c r="K95" s="518">
        <v>0</v>
      </c>
      <c r="L95" s="560">
        <v>1218.3</v>
      </c>
      <c r="M95" s="494" t="s">
        <v>515</v>
      </c>
      <c r="N95" s="511"/>
      <c r="O95" s="511"/>
      <c r="P95" s="511"/>
      <c r="Q95" s="511"/>
    </row>
    <row r="96" spans="1:17" ht="12.75">
      <c r="A96" s="504">
        <v>1241</v>
      </c>
      <c r="B96" s="500">
        <v>17596</v>
      </c>
      <c r="C96" s="503">
        <v>44544</v>
      </c>
      <c r="D96" s="500" t="s">
        <v>480</v>
      </c>
      <c r="E96" s="518">
        <v>0</v>
      </c>
      <c r="F96" s="518">
        <v>421.48</v>
      </c>
      <c r="G96" s="518">
        <v>600</v>
      </c>
      <c r="H96" s="518">
        <v>0</v>
      </c>
      <c r="I96" s="518">
        <v>0</v>
      </c>
      <c r="J96" s="518">
        <v>0</v>
      </c>
      <c r="K96" s="518">
        <v>0</v>
      </c>
      <c r="L96" s="560">
        <v>1021.48</v>
      </c>
      <c r="M96" s="495" t="s">
        <v>556</v>
      </c>
      <c r="N96" s="511"/>
      <c r="O96" s="511"/>
      <c r="P96" s="511"/>
      <c r="Q96" s="511"/>
    </row>
    <row r="97" spans="1:17" ht="15">
      <c r="A97" s="493">
        <v>1242</v>
      </c>
      <c r="B97" s="491">
        <v>17597</v>
      </c>
      <c r="C97" s="503">
        <v>44544</v>
      </c>
      <c r="D97" s="491" t="s">
        <v>415</v>
      </c>
      <c r="E97" s="559">
        <v>0</v>
      </c>
      <c r="F97" s="559">
        <v>1229.43</v>
      </c>
      <c r="G97" s="559">
        <v>0</v>
      </c>
      <c r="H97" s="559">
        <v>0</v>
      </c>
      <c r="I97" s="559">
        <v>0</v>
      </c>
      <c r="J97" s="559">
        <v>0</v>
      </c>
      <c r="K97" s="559">
        <v>0</v>
      </c>
      <c r="L97" s="560">
        <v>1229.43</v>
      </c>
      <c r="M97" s="494" t="s">
        <v>474</v>
      </c>
      <c r="N97" s="511"/>
      <c r="O97" s="511"/>
      <c r="P97" s="511"/>
      <c r="Q97" s="511"/>
    </row>
    <row r="98" spans="1:17" ht="12.75">
      <c r="A98" s="504">
        <v>1243</v>
      </c>
      <c r="B98" s="500">
        <v>17598</v>
      </c>
      <c r="C98" s="503">
        <v>44544</v>
      </c>
      <c r="D98" s="500" t="s">
        <v>379</v>
      </c>
      <c r="E98" s="518">
        <v>0</v>
      </c>
      <c r="F98" s="518">
        <v>0</v>
      </c>
      <c r="G98" s="518">
        <v>2790.95</v>
      </c>
      <c r="H98" s="518">
        <v>0</v>
      </c>
      <c r="I98" s="518">
        <v>0</v>
      </c>
      <c r="J98" s="518">
        <v>0</v>
      </c>
      <c r="K98" s="518">
        <v>0</v>
      </c>
      <c r="L98" s="560">
        <v>2790.95</v>
      </c>
      <c r="M98" s="494" t="s">
        <v>557</v>
      </c>
      <c r="N98" s="511"/>
      <c r="O98" s="511"/>
      <c r="P98" s="511"/>
      <c r="Q98" s="511"/>
    </row>
    <row r="99" spans="1:17" ht="12.75">
      <c r="A99" s="547">
        <v>1244</v>
      </c>
      <c r="B99" s="545"/>
      <c r="C99" s="544">
        <v>44544</v>
      </c>
      <c r="D99" s="545" t="s">
        <v>472</v>
      </c>
      <c r="E99" s="557">
        <v>0</v>
      </c>
      <c r="F99" s="557">
        <v>0</v>
      </c>
      <c r="G99" s="557">
        <v>0</v>
      </c>
      <c r="H99" s="557">
        <v>0</v>
      </c>
      <c r="I99" s="557">
        <v>0</v>
      </c>
      <c r="J99" s="557">
        <v>0</v>
      </c>
      <c r="K99" s="557">
        <v>0</v>
      </c>
      <c r="L99" s="561" t="s">
        <v>441</v>
      </c>
      <c r="M99" s="546" t="s">
        <v>372</v>
      </c>
      <c r="N99" s="511"/>
      <c r="O99" s="511"/>
      <c r="P99" s="511"/>
      <c r="Q99" s="511"/>
    </row>
    <row r="100" spans="1:17" ht="12.75">
      <c r="A100" s="504">
        <v>1245</v>
      </c>
      <c r="B100" s="500">
        <v>17599</v>
      </c>
      <c r="C100" s="503">
        <v>44544</v>
      </c>
      <c r="D100" s="500" t="s">
        <v>376</v>
      </c>
      <c r="E100" s="518">
        <v>0</v>
      </c>
      <c r="F100" s="518">
        <v>0</v>
      </c>
      <c r="G100" s="518">
        <v>28740</v>
      </c>
      <c r="H100" s="518">
        <v>0</v>
      </c>
      <c r="I100" s="518">
        <v>0</v>
      </c>
      <c r="J100" s="518">
        <v>0</v>
      </c>
      <c r="K100" s="518">
        <v>0</v>
      </c>
      <c r="L100" s="560">
        <v>28740</v>
      </c>
      <c r="M100" s="494" t="s">
        <v>479</v>
      </c>
      <c r="N100" s="511"/>
      <c r="O100" s="511"/>
      <c r="P100" s="511"/>
      <c r="Q100" s="511"/>
    </row>
    <row r="101" spans="1:17" ht="12.75">
      <c r="A101" s="504">
        <v>1246</v>
      </c>
      <c r="B101" s="500">
        <v>17600</v>
      </c>
      <c r="C101" s="503">
        <v>44544</v>
      </c>
      <c r="D101" s="500" t="s">
        <v>472</v>
      </c>
      <c r="E101" s="518">
        <v>8741.87</v>
      </c>
      <c r="F101" s="518">
        <v>0</v>
      </c>
      <c r="G101" s="518">
        <v>0</v>
      </c>
      <c r="H101" s="518">
        <v>0</v>
      </c>
      <c r="I101" s="518">
        <v>0</v>
      </c>
      <c r="J101" s="518">
        <v>0</v>
      </c>
      <c r="K101" s="518">
        <v>0</v>
      </c>
      <c r="L101" s="560">
        <v>8741.87</v>
      </c>
      <c r="M101" s="494" t="s">
        <v>558</v>
      </c>
      <c r="N101" s="511"/>
      <c r="O101" s="511"/>
      <c r="P101" s="511"/>
      <c r="Q101" s="511"/>
    </row>
    <row r="102" spans="1:17" ht="12.75">
      <c r="A102" s="504">
        <v>1247</v>
      </c>
      <c r="B102" s="500">
        <v>17601</v>
      </c>
      <c r="C102" s="503">
        <v>44544</v>
      </c>
      <c r="D102" s="500" t="s">
        <v>414</v>
      </c>
      <c r="E102" s="518">
        <v>0</v>
      </c>
      <c r="F102" s="518">
        <v>0</v>
      </c>
      <c r="G102" s="518">
        <v>0</v>
      </c>
      <c r="H102" s="518">
        <v>10902.3</v>
      </c>
      <c r="I102" s="518">
        <v>0</v>
      </c>
      <c r="J102" s="518">
        <v>0</v>
      </c>
      <c r="K102" s="518">
        <v>0</v>
      </c>
      <c r="L102" s="560">
        <v>10902.3</v>
      </c>
      <c r="M102" s="494" t="s">
        <v>456</v>
      </c>
      <c r="N102" s="511"/>
      <c r="O102" s="511"/>
      <c r="P102" s="511"/>
      <c r="Q102" s="511"/>
    </row>
    <row r="103" spans="1:17" ht="12.75">
      <c r="A103" s="504">
        <v>1248</v>
      </c>
      <c r="B103" s="500">
        <v>17607</v>
      </c>
      <c r="C103" s="503">
        <v>44544</v>
      </c>
      <c r="D103" s="500" t="s">
        <v>559</v>
      </c>
      <c r="E103" s="518">
        <v>0</v>
      </c>
      <c r="F103" s="518">
        <v>0</v>
      </c>
      <c r="G103" s="518">
        <v>0</v>
      </c>
      <c r="H103" s="518">
        <v>19360</v>
      </c>
      <c r="I103" s="518">
        <v>0</v>
      </c>
      <c r="J103" s="518">
        <v>0</v>
      </c>
      <c r="K103" s="518">
        <v>0</v>
      </c>
      <c r="L103" s="560">
        <v>19360</v>
      </c>
      <c r="M103" s="494" t="s">
        <v>560</v>
      </c>
      <c r="N103" s="511"/>
      <c r="O103" s="511"/>
      <c r="P103" s="511"/>
      <c r="Q103" s="511"/>
    </row>
    <row r="104" spans="1:17" ht="12.75">
      <c r="A104" s="504">
        <v>1249</v>
      </c>
      <c r="B104" s="500">
        <v>17608</v>
      </c>
      <c r="C104" s="503">
        <v>44544</v>
      </c>
      <c r="D104" s="500" t="s">
        <v>559</v>
      </c>
      <c r="E104" s="518">
        <v>0</v>
      </c>
      <c r="F104" s="518">
        <v>0</v>
      </c>
      <c r="G104" s="518">
        <v>0</v>
      </c>
      <c r="H104" s="518">
        <v>12317.06</v>
      </c>
      <c r="I104" s="518">
        <v>0</v>
      </c>
      <c r="J104" s="518">
        <v>0</v>
      </c>
      <c r="K104" s="518">
        <v>0</v>
      </c>
      <c r="L104" s="560">
        <v>12317.06</v>
      </c>
      <c r="M104" s="494" t="s">
        <v>560</v>
      </c>
      <c r="N104" s="511"/>
      <c r="O104" s="511"/>
      <c r="P104" s="511"/>
      <c r="Q104" s="511"/>
    </row>
    <row r="105" spans="1:17" ht="12.75">
      <c r="A105" s="504">
        <v>1250</v>
      </c>
      <c r="B105" s="500">
        <v>17603</v>
      </c>
      <c r="C105" s="503">
        <v>44546</v>
      </c>
      <c r="D105" s="500" t="s">
        <v>403</v>
      </c>
      <c r="E105" s="518">
        <v>0</v>
      </c>
      <c r="F105" s="518">
        <v>206.65</v>
      </c>
      <c r="G105" s="518">
        <v>600</v>
      </c>
      <c r="H105" s="518">
        <v>0</v>
      </c>
      <c r="I105" s="518">
        <v>0</v>
      </c>
      <c r="J105" s="518">
        <v>0</v>
      </c>
      <c r="K105" s="518">
        <v>0</v>
      </c>
      <c r="L105" s="560">
        <v>806.65</v>
      </c>
      <c r="M105" s="494" t="s">
        <v>561</v>
      </c>
      <c r="N105" s="511"/>
      <c r="O105" s="511"/>
      <c r="P105" s="511"/>
      <c r="Q105" s="511"/>
    </row>
    <row r="106" spans="1:17" ht="12.75">
      <c r="A106" s="504">
        <v>1251</v>
      </c>
      <c r="B106" s="500">
        <v>17604</v>
      </c>
      <c r="C106" s="503">
        <v>44546</v>
      </c>
      <c r="D106" s="500" t="s">
        <v>437</v>
      </c>
      <c r="E106" s="518">
        <v>0</v>
      </c>
      <c r="F106" s="518">
        <v>225.06</v>
      </c>
      <c r="G106" s="518">
        <v>600</v>
      </c>
      <c r="H106" s="518">
        <v>0</v>
      </c>
      <c r="I106" s="518">
        <v>20.7</v>
      </c>
      <c r="J106" s="518">
        <v>0</v>
      </c>
      <c r="K106" s="518">
        <v>0</v>
      </c>
      <c r="L106" s="560">
        <v>845.76</v>
      </c>
      <c r="M106" s="494" t="s">
        <v>562</v>
      </c>
      <c r="N106" s="511"/>
      <c r="O106" s="511"/>
      <c r="P106" s="511"/>
      <c r="Q106" s="511"/>
    </row>
    <row r="107" spans="1:17" ht="12.75">
      <c r="A107" s="504">
        <v>1252</v>
      </c>
      <c r="B107" s="500">
        <v>17605</v>
      </c>
      <c r="C107" s="503">
        <v>44546</v>
      </c>
      <c r="D107" s="500" t="s">
        <v>374</v>
      </c>
      <c r="E107" s="518">
        <v>0</v>
      </c>
      <c r="F107" s="518">
        <v>0</v>
      </c>
      <c r="G107" s="518">
        <v>0</v>
      </c>
      <c r="H107" s="518">
        <v>9270.74</v>
      </c>
      <c r="I107" s="518">
        <v>0</v>
      </c>
      <c r="J107" s="518">
        <v>0</v>
      </c>
      <c r="K107" s="518">
        <v>0</v>
      </c>
      <c r="L107" s="560">
        <v>9270.74</v>
      </c>
      <c r="M107" s="494" t="s">
        <v>563</v>
      </c>
      <c r="N107" s="511"/>
      <c r="O107" s="511"/>
      <c r="P107" s="511"/>
      <c r="Q107" s="511"/>
    </row>
    <row r="108" spans="1:17" ht="12.75">
      <c r="A108" s="504">
        <v>1253</v>
      </c>
      <c r="B108" s="500">
        <v>17606</v>
      </c>
      <c r="C108" s="503">
        <v>44546</v>
      </c>
      <c r="D108" s="500" t="s">
        <v>374</v>
      </c>
      <c r="E108" s="518">
        <v>0</v>
      </c>
      <c r="F108" s="518">
        <v>0</v>
      </c>
      <c r="G108" s="518">
        <v>0</v>
      </c>
      <c r="H108" s="518">
        <v>491.7</v>
      </c>
      <c r="I108" s="518">
        <v>0</v>
      </c>
      <c r="J108" s="518">
        <v>0</v>
      </c>
      <c r="K108" s="518">
        <v>0</v>
      </c>
      <c r="L108" s="560">
        <v>491.7</v>
      </c>
      <c r="M108" s="494" t="s">
        <v>564</v>
      </c>
      <c r="N108" s="511"/>
      <c r="O108" s="511"/>
      <c r="P108" s="511"/>
      <c r="Q108" s="511"/>
    </row>
    <row r="109" spans="1:17" ht="12.75">
      <c r="A109" s="504">
        <v>1254</v>
      </c>
      <c r="B109" s="500">
        <v>17609</v>
      </c>
      <c r="C109" s="503">
        <v>44547</v>
      </c>
      <c r="D109" s="500" t="s">
        <v>437</v>
      </c>
      <c r="E109" s="518">
        <v>0</v>
      </c>
      <c r="F109" s="518">
        <v>225.06</v>
      </c>
      <c r="G109" s="518">
        <v>600</v>
      </c>
      <c r="H109" s="518">
        <v>0</v>
      </c>
      <c r="I109" s="518">
        <v>20.7</v>
      </c>
      <c r="J109" s="518">
        <v>0</v>
      </c>
      <c r="K109" s="518">
        <v>0</v>
      </c>
      <c r="L109" s="560">
        <v>845.76</v>
      </c>
      <c r="M109" s="494" t="s">
        <v>543</v>
      </c>
      <c r="N109" s="511"/>
      <c r="O109" s="511"/>
      <c r="P109" s="511"/>
      <c r="Q109" s="511"/>
    </row>
    <row r="110" spans="1:17" ht="15">
      <c r="A110" s="493">
        <v>1255</v>
      </c>
      <c r="B110" s="491">
        <v>17610</v>
      </c>
      <c r="C110" s="503">
        <v>44547</v>
      </c>
      <c r="D110" s="491" t="s">
        <v>403</v>
      </c>
      <c r="E110" s="559">
        <v>0</v>
      </c>
      <c r="F110" s="559">
        <v>734.52</v>
      </c>
      <c r="G110" s="559">
        <v>600</v>
      </c>
      <c r="H110" s="559">
        <v>0</v>
      </c>
      <c r="I110" s="559">
        <v>0</v>
      </c>
      <c r="J110" s="559">
        <v>0</v>
      </c>
      <c r="K110" s="559">
        <v>0</v>
      </c>
      <c r="L110" s="560">
        <v>1334.52</v>
      </c>
      <c r="M110" s="494" t="s">
        <v>473</v>
      </c>
      <c r="N110" s="511"/>
      <c r="O110" s="511"/>
      <c r="P110" s="511"/>
      <c r="Q110" s="511"/>
    </row>
    <row r="111" spans="1:17" ht="12.75">
      <c r="A111" s="504">
        <v>1256</v>
      </c>
      <c r="B111" s="500">
        <v>17611</v>
      </c>
      <c r="C111" s="503">
        <v>44547</v>
      </c>
      <c r="D111" s="500" t="s">
        <v>369</v>
      </c>
      <c r="E111" s="518">
        <v>0</v>
      </c>
      <c r="F111" s="518">
        <v>618.3</v>
      </c>
      <c r="G111" s="518">
        <v>1200</v>
      </c>
      <c r="H111" s="518">
        <v>701.96</v>
      </c>
      <c r="I111" s="518">
        <v>0</v>
      </c>
      <c r="J111" s="518">
        <v>0</v>
      </c>
      <c r="K111" s="518">
        <v>0</v>
      </c>
      <c r="L111" s="560">
        <v>2520.26</v>
      </c>
      <c r="M111" s="494" t="s">
        <v>402</v>
      </c>
      <c r="N111" s="511"/>
      <c r="O111" s="511"/>
      <c r="P111" s="511"/>
      <c r="Q111" s="511"/>
    </row>
    <row r="112" spans="1:17" ht="12.75">
      <c r="A112" s="504">
        <v>1257</v>
      </c>
      <c r="B112" s="500">
        <v>17612</v>
      </c>
      <c r="C112" s="503">
        <v>44547</v>
      </c>
      <c r="D112" s="500" t="s">
        <v>369</v>
      </c>
      <c r="E112" s="518">
        <v>0</v>
      </c>
      <c r="F112" s="518">
        <v>0</v>
      </c>
      <c r="G112" s="518">
        <v>600</v>
      </c>
      <c r="H112" s="518">
        <v>542.3</v>
      </c>
      <c r="I112" s="518">
        <v>0</v>
      </c>
      <c r="J112" s="518">
        <v>0</v>
      </c>
      <c r="K112" s="518">
        <v>0</v>
      </c>
      <c r="L112" s="560">
        <v>1142.3</v>
      </c>
      <c r="M112" s="494" t="s">
        <v>380</v>
      </c>
      <c r="N112" s="511"/>
      <c r="O112" s="511"/>
      <c r="P112" s="511"/>
      <c r="Q112" s="511"/>
    </row>
    <row r="113" spans="1:17" ht="12.75">
      <c r="A113" s="504">
        <v>1258</v>
      </c>
      <c r="B113" s="500">
        <v>17613</v>
      </c>
      <c r="C113" s="503">
        <v>44547</v>
      </c>
      <c r="D113" s="500" t="s">
        <v>369</v>
      </c>
      <c r="E113" s="518">
        <v>0</v>
      </c>
      <c r="F113" s="518">
        <v>0</v>
      </c>
      <c r="G113" s="518">
        <v>600</v>
      </c>
      <c r="H113" s="518">
        <v>382.8</v>
      </c>
      <c r="I113" s="518">
        <v>0</v>
      </c>
      <c r="J113" s="518">
        <v>0</v>
      </c>
      <c r="K113" s="518">
        <v>0</v>
      </c>
      <c r="L113" s="560">
        <v>982.8</v>
      </c>
      <c r="M113" s="494" t="s">
        <v>515</v>
      </c>
      <c r="N113" s="511"/>
      <c r="O113" s="511"/>
      <c r="P113" s="511"/>
      <c r="Q113" s="511"/>
    </row>
    <row r="114" spans="1:17" ht="15">
      <c r="A114" s="493">
        <v>1259</v>
      </c>
      <c r="B114" s="491">
        <v>17614</v>
      </c>
      <c r="C114" s="503">
        <v>44547</v>
      </c>
      <c r="D114" s="491" t="s">
        <v>369</v>
      </c>
      <c r="E114" s="559">
        <v>0</v>
      </c>
      <c r="F114" s="559">
        <v>0</v>
      </c>
      <c r="G114" s="559">
        <v>600</v>
      </c>
      <c r="H114" s="559">
        <v>319</v>
      </c>
      <c r="I114" s="559">
        <v>0</v>
      </c>
      <c r="J114" s="559">
        <v>0</v>
      </c>
      <c r="K114" s="559">
        <v>0</v>
      </c>
      <c r="L114" s="560">
        <v>919</v>
      </c>
      <c r="M114" s="495" t="s">
        <v>516</v>
      </c>
      <c r="N114" s="511"/>
      <c r="O114" s="511"/>
      <c r="P114" s="511"/>
      <c r="Q114" s="511"/>
    </row>
    <row r="115" spans="1:17" ht="12.75">
      <c r="A115" s="504">
        <v>1260</v>
      </c>
      <c r="B115" s="500">
        <v>17615</v>
      </c>
      <c r="C115" s="503">
        <v>44547</v>
      </c>
      <c r="D115" s="500" t="s">
        <v>370</v>
      </c>
      <c r="E115" s="518">
        <v>0</v>
      </c>
      <c r="F115" s="518">
        <v>0</v>
      </c>
      <c r="G115" s="518">
        <v>600</v>
      </c>
      <c r="H115" s="518">
        <v>446.6</v>
      </c>
      <c r="I115" s="518">
        <v>0</v>
      </c>
      <c r="J115" s="518">
        <v>0</v>
      </c>
      <c r="K115" s="518">
        <v>0</v>
      </c>
      <c r="L115" s="560">
        <v>1046.6</v>
      </c>
      <c r="M115" s="495" t="s">
        <v>373</v>
      </c>
      <c r="N115" s="511"/>
      <c r="O115" s="511"/>
      <c r="P115" s="511"/>
      <c r="Q115" s="511"/>
    </row>
    <row r="116" spans="1:17" ht="12.75">
      <c r="A116" s="504">
        <v>1261</v>
      </c>
      <c r="B116" s="500">
        <v>17616</v>
      </c>
      <c r="C116" s="503">
        <v>44550</v>
      </c>
      <c r="D116" s="500" t="s">
        <v>472</v>
      </c>
      <c r="E116" s="518">
        <v>0</v>
      </c>
      <c r="F116" s="518">
        <v>618.3</v>
      </c>
      <c r="G116" s="518">
        <v>600</v>
      </c>
      <c r="H116" s="518">
        <v>0</v>
      </c>
      <c r="I116" s="518">
        <v>0</v>
      </c>
      <c r="J116" s="518">
        <v>0</v>
      </c>
      <c r="K116" s="518">
        <v>0</v>
      </c>
      <c r="L116" s="560">
        <v>1218.3</v>
      </c>
      <c r="M116" s="495" t="s">
        <v>565</v>
      </c>
      <c r="N116" s="513"/>
      <c r="O116" s="513"/>
      <c r="P116" s="511"/>
      <c r="Q116" s="514"/>
    </row>
    <row r="117" spans="1:17" ht="12.75">
      <c r="A117" s="504">
        <v>1262</v>
      </c>
      <c r="B117" s="500">
        <v>17617</v>
      </c>
      <c r="C117" s="503">
        <v>44550</v>
      </c>
      <c r="D117" s="500" t="s">
        <v>472</v>
      </c>
      <c r="E117" s="518">
        <v>0</v>
      </c>
      <c r="F117" s="518">
        <v>1113.23</v>
      </c>
      <c r="G117" s="518">
        <v>1456.5</v>
      </c>
      <c r="H117" s="518">
        <v>0</v>
      </c>
      <c r="I117" s="518">
        <v>0</v>
      </c>
      <c r="J117" s="518">
        <v>0</v>
      </c>
      <c r="K117" s="518">
        <v>0</v>
      </c>
      <c r="L117" s="560">
        <v>2569.73</v>
      </c>
      <c r="M117" s="494" t="s">
        <v>566</v>
      </c>
      <c r="N117" s="513"/>
      <c r="O117" s="511"/>
      <c r="P117" s="511"/>
      <c r="Q117" s="511"/>
    </row>
    <row r="118" spans="1:17" ht="12.75">
      <c r="A118" s="504">
        <v>1263</v>
      </c>
      <c r="B118" s="500">
        <v>17618</v>
      </c>
      <c r="C118" s="503">
        <v>44550</v>
      </c>
      <c r="D118" s="500" t="s">
        <v>439</v>
      </c>
      <c r="E118" s="518">
        <v>0</v>
      </c>
      <c r="F118" s="518">
        <v>403.47</v>
      </c>
      <c r="G118" s="518">
        <v>600</v>
      </c>
      <c r="H118" s="518">
        <v>0</v>
      </c>
      <c r="I118" s="518">
        <v>0</v>
      </c>
      <c r="J118" s="518">
        <v>0</v>
      </c>
      <c r="K118" s="518">
        <v>0</v>
      </c>
      <c r="L118" s="560">
        <v>1003.47</v>
      </c>
      <c r="M118" s="494" t="s">
        <v>567</v>
      </c>
      <c r="N118" s="513"/>
      <c r="O118" s="511"/>
      <c r="P118" s="511"/>
      <c r="Q118" s="511"/>
    </row>
    <row r="119" spans="1:17" ht="12.75">
      <c r="A119" s="504">
        <v>1264</v>
      </c>
      <c r="B119" s="500">
        <v>17619</v>
      </c>
      <c r="C119" s="503">
        <v>44550</v>
      </c>
      <c r="D119" s="500" t="s">
        <v>472</v>
      </c>
      <c r="E119" s="518">
        <v>0</v>
      </c>
      <c r="F119" s="518">
        <v>0</v>
      </c>
      <c r="G119" s="518">
        <v>600</v>
      </c>
      <c r="H119" s="518">
        <v>446.6</v>
      </c>
      <c r="I119" s="518">
        <v>0</v>
      </c>
      <c r="J119" s="518">
        <v>0</v>
      </c>
      <c r="K119" s="518">
        <v>0</v>
      </c>
      <c r="L119" s="560">
        <v>1046.6</v>
      </c>
      <c r="M119" s="494" t="s">
        <v>481</v>
      </c>
      <c r="N119" s="511"/>
      <c r="O119" s="511"/>
      <c r="P119" s="511"/>
      <c r="Q119" s="511"/>
    </row>
    <row r="120" spans="1:17" ht="15">
      <c r="A120" s="493">
        <v>1265</v>
      </c>
      <c r="B120" s="491">
        <v>17620</v>
      </c>
      <c r="C120" s="503">
        <v>44550</v>
      </c>
      <c r="D120" s="496" t="s">
        <v>369</v>
      </c>
      <c r="E120" s="559">
        <v>0</v>
      </c>
      <c r="F120" s="559">
        <v>834.97</v>
      </c>
      <c r="G120" s="559">
        <v>600</v>
      </c>
      <c r="H120" s="559">
        <v>0</v>
      </c>
      <c r="I120" s="559">
        <v>0</v>
      </c>
      <c r="J120" s="559">
        <v>0</v>
      </c>
      <c r="K120" s="559">
        <v>0</v>
      </c>
      <c r="L120" s="560">
        <v>1434.97</v>
      </c>
      <c r="M120" s="494" t="s">
        <v>451</v>
      </c>
      <c r="N120" s="511"/>
      <c r="O120" s="511"/>
      <c r="P120" s="511"/>
      <c r="Q120" s="511"/>
    </row>
    <row r="121" spans="1:17" ht="15">
      <c r="A121" s="493">
        <v>1266</v>
      </c>
      <c r="B121" s="491">
        <v>17621</v>
      </c>
      <c r="C121" s="503">
        <v>44550</v>
      </c>
      <c r="D121" s="496" t="s">
        <v>472</v>
      </c>
      <c r="E121" s="559">
        <v>8109.38</v>
      </c>
      <c r="F121" s="559">
        <v>0</v>
      </c>
      <c r="G121" s="559">
        <v>0</v>
      </c>
      <c r="H121" s="559">
        <v>0</v>
      </c>
      <c r="I121" s="559">
        <v>0</v>
      </c>
      <c r="J121" s="559">
        <v>0</v>
      </c>
      <c r="K121" s="559">
        <v>0</v>
      </c>
      <c r="L121" s="560">
        <v>8109.38</v>
      </c>
      <c r="M121" s="494" t="s">
        <v>568</v>
      </c>
      <c r="N121" s="511"/>
      <c r="O121" s="511"/>
      <c r="P121" s="511"/>
      <c r="Q121" s="511"/>
    </row>
    <row r="122" spans="1:17" ht="12.75">
      <c r="A122" s="504">
        <v>1267</v>
      </c>
      <c r="B122" s="500">
        <v>17622</v>
      </c>
      <c r="C122" s="503">
        <v>44550</v>
      </c>
      <c r="D122" s="500" t="s">
        <v>472</v>
      </c>
      <c r="E122" s="518">
        <v>0</v>
      </c>
      <c r="F122" s="518">
        <v>214.83</v>
      </c>
      <c r="G122" s="518">
        <v>0</v>
      </c>
      <c r="H122" s="518">
        <v>0</v>
      </c>
      <c r="I122" s="518">
        <v>0</v>
      </c>
      <c r="J122" s="518">
        <v>0</v>
      </c>
      <c r="K122" s="518">
        <v>0</v>
      </c>
      <c r="L122" s="560">
        <v>214.83</v>
      </c>
      <c r="M122" s="494" t="s">
        <v>510</v>
      </c>
      <c r="N122" s="511"/>
      <c r="O122" s="511"/>
      <c r="P122" s="511"/>
      <c r="Q122" s="511"/>
    </row>
    <row r="123" spans="1:17" ht="15">
      <c r="A123" s="504">
        <v>1268</v>
      </c>
      <c r="B123" s="500">
        <v>17623</v>
      </c>
      <c r="C123" s="503">
        <v>44550</v>
      </c>
      <c r="D123" s="496" t="s">
        <v>369</v>
      </c>
      <c r="E123" s="518">
        <v>0</v>
      </c>
      <c r="F123" s="518">
        <v>238.36</v>
      </c>
      <c r="G123" s="518">
        <v>1200</v>
      </c>
      <c r="H123" s="518">
        <v>31.9</v>
      </c>
      <c r="I123" s="518">
        <v>0</v>
      </c>
      <c r="J123" s="518">
        <v>0</v>
      </c>
      <c r="K123" s="518">
        <v>0</v>
      </c>
      <c r="L123" s="560">
        <v>1470.26</v>
      </c>
      <c r="M123" s="494" t="s">
        <v>516</v>
      </c>
      <c r="N123" s="511"/>
      <c r="O123" s="511"/>
      <c r="P123" s="511"/>
      <c r="Q123" s="511"/>
    </row>
    <row r="124" spans="1:17" ht="15">
      <c r="A124" s="504">
        <v>1269</v>
      </c>
      <c r="B124" s="500">
        <v>17624</v>
      </c>
      <c r="C124" s="503">
        <v>44550</v>
      </c>
      <c r="D124" s="496" t="s">
        <v>415</v>
      </c>
      <c r="E124" s="518">
        <v>0</v>
      </c>
      <c r="F124" s="518">
        <v>2227.27</v>
      </c>
      <c r="G124" s="518">
        <v>0</v>
      </c>
      <c r="H124" s="518">
        <v>0</v>
      </c>
      <c r="I124" s="518">
        <v>0</v>
      </c>
      <c r="J124" s="518">
        <v>0</v>
      </c>
      <c r="K124" s="518">
        <v>0</v>
      </c>
      <c r="L124" s="560">
        <v>2227.27</v>
      </c>
      <c r="M124" s="494" t="s">
        <v>511</v>
      </c>
      <c r="N124" s="511"/>
      <c r="O124" s="511"/>
      <c r="P124" s="511"/>
      <c r="Q124" s="511"/>
    </row>
    <row r="125" spans="1:17" ht="15">
      <c r="A125" s="504">
        <v>1270</v>
      </c>
      <c r="B125" s="500">
        <v>17625</v>
      </c>
      <c r="C125" s="503">
        <v>44550</v>
      </c>
      <c r="D125" s="496" t="s">
        <v>379</v>
      </c>
      <c r="E125" s="518">
        <v>0</v>
      </c>
      <c r="F125" s="518">
        <v>0</v>
      </c>
      <c r="G125" s="518">
        <v>2890</v>
      </c>
      <c r="H125" s="518">
        <v>0</v>
      </c>
      <c r="I125" s="518">
        <v>0</v>
      </c>
      <c r="J125" s="518">
        <v>0</v>
      </c>
      <c r="K125" s="518">
        <v>0</v>
      </c>
      <c r="L125" s="560">
        <v>2890</v>
      </c>
      <c r="M125" s="494" t="s">
        <v>511</v>
      </c>
      <c r="N125" s="511"/>
      <c r="O125" s="511"/>
      <c r="P125" s="511"/>
      <c r="Q125" s="511"/>
    </row>
    <row r="126" spans="1:17" ht="15">
      <c r="A126" s="504">
        <v>1271</v>
      </c>
      <c r="B126" s="500">
        <v>17626</v>
      </c>
      <c r="C126" s="503">
        <v>44550</v>
      </c>
      <c r="D126" s="496" t="s">
        <v>369</v>
      </c>
      <c r="E126" s="518">
        <v>0</v>
      </c>
      <c r="F126" s="518">
        <v>0</v>
      </c>
      <c r="G126" s="518">
        <v>600</v>
      </c>
      <c r="H126" s="518">
        <v>893.2</v>
      </c>
      <c r="I126" s="518">
        <v>0</v>
      </c>
      <c r="J126" s="518">
        <v>0</v>
      </c>
      <c r="K126" s="518">
        <v>0</v>
      </c>
      <c r="L126" s="560">
        <v>1493.2</v>
      </c>
      <c r="M126" s="494" t="s">
        <v>413</v>
      </c>
      <c r="N126" s="511"/>
      <c r="O126" s="511"/>
      <c r="P126" s="511"/>
      <c r="Q126" s="511"/>
    </row>
    <row r="127" spans="1:17" ht="15">
      <c r="A127" s="504">
        <v>1272</v>
      </c>
      <c r="B127" s="500">
        <v>17627</v>
      </c>
      <c r="C127" s="503">
        <v>44550</v>
      </c>
      <c r="D127" s="496" t="s">
        <v>369</v>
      </c>
      <c r="E127" s="518">
        <v>0</v>
      </c>
      <c r="F127" s="518">
        <v>403.47</v>
      </c>
      <c r="G127" s="518">
        <v>600</v>
      </c>
      <c r="H127" s="518">
        <v>0</v>
      </c>
      <c r="I127" s="518">
        <v>0</v>
      </c>
      <c r="J127" s="518">
        <v>0</v>
      </c>
      <c r="K127" s="518">
        <v>0</v>
      </c>
      <c r="L127" s="560">
        <v>1003.47</v>
      </c>
      <c r="M127" s="494" t="s">
        <v>453</v>
      </c>
      <c r="N127" s="511"/>
      <c r="O127" s="511"/>
      <c r="P127" s="511"/>
      <c r="Q127" s="511"/>
    </row>
    <row r="128" spans="1:17" ht="15">
      <c r="A128" s="493">
        <v>1273</v>
      </c>
      <c r="B128" s="491">
        <v>17628</v>
      </c>
      <c r="C128" s="497">
        <v>44550</v>
      </c>
      <c r="D128" s="496" t="s">
        <v>369</v>
      </c>
      <c r="E128" s="559">
        <v>0</v>
      </c>
      <c r="F128" s="559">
        <v>0</v>
      </c>
      <c r="G128" s="559">
        <v>600</v>
      </c>
      <c r="H128" s="559">
        <v>382.8</v>
      </c>
      <c r="I128" s="559">
        <v>0</v>
      </c>
      <c r="J128" s="559">
        <v>0</v>
      </c>
      <c r="K128" s="559">
        <v>0</v>
      </c>
      <c r="L128" s="562">
        <v>982.8</v>
      </c>
      <c r="M128" s="494" t="s">
        <v>383</v>
      </c>
      <c r="N128" s="511"/>
      <c r="O128" s="511"/>
      <c r="P128" s="511"/>
      <c r="Q128" s="511"/>
    </row>
    <row r="129" spans="1:17" ht="12.75">
      <c r="A129" s="504">
        <v>1274</v>
      </c>
      <c r="B129" s="500">
        <v>17629</v>
      </c>
      <c r="C129" s="503">
        <v>44550</v>
      </c>
      <c r="D129" s="515" t="s">
        <v>369</v>
      </c>
      <c r="E129" s="518">
        <v>0</v>
      </c>
      <c r="F129" s="518">
        <v>0</v>
      </c>
      <c r="G129" s="518">
        <v>600</v>
      </c>
      <c r="H129" s="518">
        <v>350.9</v>
      </c>
      <c r="I129" s="518">
        <v>0</v>
      </c>
      <c r="J129" s="518">
        <v>0</v>
      </c>
      <c r="K129" s="518">
        <v>0</v>
      </c>
      <c r="L129" s="560">
        <v>950.9</v>
      </c>
      <c r="M129" s="494" t="s">
        <v>383</v>
      </c>
      <c r="N129" s="511"/>
      <c r="O129" s="511"/>
      <c r="P129" s="511"/>
      <c r="Q129" s="511"/>
    </row>
    <row r="130" spans="1:17" ht="12.75">
      <c r="A130" s="504">
        <v>1275</v>
      </c>
      <c r="B130" s="500">
        <v>17630</v>
      </c>
      <c r="C130" s="503">
        <v>44550</v>
      </c>
      <c r="D130" s="515" t="s">
        <v>371</v>
      </c>
      <c r="E130" s="518">
        <v>0</v>
      </c>
      <c r="F130" s="518">
        <v>214.83</v>
      </c>
      <c r="G130" s="518">
        <v>0</v>
      </c>
      <c r="H130" s="518">
        <v>0</v>
      </c>
      <c r="I130" s="518">
        <v>0</v>
      </c>
      <c r="J130" s="518">
        <v>0</v>
      </c>
      <c r="K130" s="518">
        <v>0</v>
      </c>
      <c r="L130" s="560">
        <v>214.83</v>
      </c>
      <c r="M130" s="494" t="s">
        <v>569</v>
      </c>
      <c r="N130" s="513"/>
      <c r="O130" s="511"/>
      <c r="P130" s="513"/>
      <c r="Q130" s="511"/>
    </row>
    <row r="131" spans="1:17" ht="12.75">
      <c r="A131" s="504">
        <v>1276</v>
      </c>
      <c r="B131" s="500">
        <v>17631</v>
      </c>
      <c r="C131" s="503">
        <v>44550</v>
      </c>
      <c r="D131" s="500" t="s">
        <v>376</v>
      </c>
      <c r="E131" s="518">
        <v>0</v>
      </c>
      <c r="F131" s="518">
        <v>0</v>
      </c>
      <c r="G131" s="518">
        <v>14370</v>
      </c>
      <c r="H131" s="518">
        <v>0</v>
      </c>
      <c r="I131" s="518">
        <v>0</v>
      </c>
      <c r="J131" s="518">
        <v>0</v>
      </c>
      <c r="K131" s="518">
        <v>0</v>
      </c>
      <c r="L131" s="560">
        <v>14370</v>
      </c>
      <c r="M131" s="494" t="s">
        <v>479</v>
      </c>
      <c r="N131" s="511"/>
      <c r="O131" s="511"/>
      <c r="P131" s="511"/>
      <c r="Q131" s="511"/>
    </row>
    <row r="132" spans="1:17" ht="12.75">
      <c r="A132" s="504">
        <v>1277</v>
      </c>
      <c r="B132" s="500">
        <v>17632</v>
      </c>
      <c r="C132" s="503">
        <v>44552</v>
      </c>
      <c r="D132" s="500" t="s">
        <v>374</v>
      </c>
      <c r="E132" s="518">
        <v>0</v>
      </c>
      <c r="F132" s="518">
        <v>0</v>
      </c>
      <c r="G132" s="518">
        <v>0</v>
      </c>
      <c r="H132" s="518">
        <v>5200</v>
      </c>
      <c r="I132" s="518">
        <v>0</v>
      </c>
      <c r="J132" s="518">
        <v>0</v>
      </c>
      <c r="K132" s="518">
        <v>0</v>
      </c>
      <c r="L132" s="560">
        <v>5200</v>
      </c>
      <c r="M132" s="494" t="s">
        <v>570</v>
      </c>
      <c r="N132" s="511"/>
      <c r="O132" s="511"/>
      <c r="P132" s="511"/>
      <c r="Q132" s="511"/>
    </row>
    <row r="133" spans="1:17" ht="12.75">
      <c r="A133" s="504">
        <v>1278</v>
      </c>
      <c r="B133" s="500">
        <v>17633</v>
      </c>
      <c r="C133" s="503">
        <v>44552</v>
      </c>
      <c r="D133" s="500" t="s">
        <v>371</v>
      </c>
      <c r="E133" s="518">
        <v>0</v>
      </c>
      <c r="F133" s="518">
        <v>214.83</v>
      </c>
      <c r="G133" s="518">
        <v>0</v>
      </c>
      <c r="H133" s="518">
        <v>0</v>
      </c>
      <c r="I133" s="518">
        <v>0</v>
      </c>
      <c r="J133" s="518">
        <v>0</v>
      </c>
      <c r="K133" s="518">
        <v>0</v>
      </c>
      <c r="L133" s="560">
        <v>214.83</v>
      </c>
      <c r="M133" s="494" t="s">
        <v>569</v>
      </c>
      <c r="N133" s="511"/>
      <c r="O133" s="511"/>
      <c r="P133" s="511"/>
      <c r="Q133" s="511"/>
    </row>
    <row r="134" spans="1:17" ht="12.75">
      <c r="A134" s="504">
        <v>1279</v>
      </c>
      <c r="B134" s="500">
        <v>17634</v>
      </c>
      <c r="C134" s="503">
        <v>44552</v>
      </c>
      <c r="D134" s="500" t="s">
        <v>403</v>
      </c>
      <c r="E134" s="518">
        <v>0</v>
      </c>
      <c r="F134" s="518">
        <v>186.18</v>
      </c>
      <c r="G134" s="518">
        <v>0</v>
      </c>
      <c r="H134" s="518">
        <v>0</v>
      </c>
      <c r="I134" s="518">
        <v>0</v>
      </c>
      <c r="J134" s="518">
        <v>0</v>
      </c>
      <c r="K134" s="518">
        <v>0</v>
      </c>
      <c r="L134" s="560">
        <v>186.18</v>
      </c>
      <c r="M134" s="494" t="s">
        <v>571</v>
      </c>
      <c r="N134" s="511"/>
      <c r="O134" s="511"/>
      <c r="P134" s="511"/>
      <c r="Q134" s="511"/>
    </row>
    <row r="135" spans="1:17" ht="12.75">
      <c r="A135" s="547">
        <v>1280</v>
      </c>
      <c r="B135" s="545">
        <v>17635</v>
      </c>
      <c r="C135" s="544">
        <v>44552</v>
      </c>
      <c r="D135" s="545" t="s">
        <v>415</v>
      </c>
      <c r="E135" s="557">
        <v>0</v>
      </c>
      <c r="F135" s="557">
        <v>0</v>
      </c>
      <c r="G135" s="557">
        <v>0</v>
      </c>
      <c r="H135" s="557">
        <v>0</v>
      </c>
      <c r="I135" s="557">
        <v>0</v>
      </c>
      <c r="J135" s="557">
        <v>0</v>
      </c>
      <c r="K135" s="557">
        <v>0</v>
      </c>
      <c r="L135" s="561" t="s">
        <v>441</v>
      </c>
      <c r="M135" s="546" t="s">
        <v>372</v>
      </c>
      <c r="N135" s="511"/>
      <c r="O135" s="511"/>
      <c r="P135" s="511"/>
      <c r="Q135" s="511"/>
    </row>
    <row r="136" spans="1:17" ht="12.75">
      <c r="A136" s="504">
        <v>1281</v>
      </c>
      <c r="B136" s="500">
        <v>17636</v>
      </c>
      <c r="C136" s="503">
        <v>44552</v>
      </c>
      <c r="D136" s="500" t="s">
        <v>472</v>
      </c>
      <c r="E136" s="518">
        <v>0</v>
      </c>
      <c r="F136" s="518">
        <v>609.7</v>
      </c>
      <c r="G136" s="518">
        <v>600</v>
      </c>
      <c r="H136" s="518">
        <v>0</v>
      </c>
      <c r="I136" s="518">
        <v>0</v>
      </c>
      <c r="J136" s="518">
        <v>0</v>
      </c>
      <c r="K136" s="518">
        <v>0</v>
      </c>
      <c r="L136" s="560">
        <v>1209.7</v>
      </c>
      <c r="M136" s="494" t="s">
        <v>481</v>
      </c>
      <c r="N136" s="511"/>
      <c r="O136" s="511"/>
      <c r="P136" s="511"/>
      <c r="Q136" s="511"/>
    </row>
    <row r="137" spans="1:17" ht="12.75">
      <c r="A137" s="504">
        <v>1282</v>
      </c>
      <c r="B137" s="500">
        <v>17637</v>
      </c>
      <c r="C137" s="503">
        <v>44552</v>
      </c>
      <c r="D137" s="500" t="s">
        <v>369</v>
      </c>
      <c r="E137" s="518">
        <v>0</v>
      </c>
      <c r="F137" s="518">
        <v>589.66</v>
      </c>
      <c r="G137" s="518">
        <v>600</v>
      </c>
      <c r="H137" s="518">
        <v>638.4</v>
      </c>
      <c r="I137" s="518">
        <v>0</v>
      </c>
      <c r="J137" s="518">
        <v>0</v>
      </c>
      <c r="K137" s="518">
        <v>0</v>
      </c>
      <c r="L137" s="560">
        <v>1828.06</v>
      </c>
      <c r="M137" s="494" t="s">
        <v>572</v>
      </c>
      <c r="N137" s="511"/>
      <c r="O137" s="511"/>
      <c r="P137" s="511"/>
      <c r="Q137" s="511"/>
    </row>
    <row r="138" spans="1:17" ht="12.75">
      <c r="A138" s="504">
        <v>1283</v>
      </c>
      <c r="B138" s="500">
        <v>17638</v>
      </c>
      <c r="C138" s="503">
        <v>44552</v>
      </c>
      <c r="D138" s="500" t="s">
        <v>472</v>
      </c>
      <c r="E138" s="518">
        <v>0</v>
      </c>
      <c r="F138" s="518">
        <v>0</v>
      </c>
      <c r="G138" s="518">
        <v>604.78</v>
      </c>
      <c r="H138" s="518">
        <v>829.4</v>
      </c>
      <c r="I138" s="518">
        <v>0</v>
      </c>
      <c r="J138" s="518">
        <v>0</v>
      </c>
      <c r="K138" s="518">
        <v>0</v>
      </c>
      <c r="L138" s="560">
        <v>1434.18</v>
      </c>
      <c r="M138" s="494" t="s">
        <v>482</v>
      </c>
      <c r="N138" s="511"/>
      <c r="O138" s="511"/>
      <c r="P138" s="511"/>
      <c r="Q138" s="511"/>
    </row>
    <row r="139" spans="1:17" ht="12.75">
      <c r="A139" s="504">
        <v>1284</v>
      </c>
      <c r="B139" s="500">
        <v>17639</v>
      </c>
      <c r="C139" s="503">
        <v>44552</v>
      </c>
      <c r="D139" s="500" t="s">
        <v>472</v>
      </c>
      <c r="E139" s="518">
        <v>0</v>
      </c>
      <c r="F139" s="518">
        <v>214.83</v>
      </c>
      <c r="G139" s="518">
        <v>0</v>
      </c>
      <c r="H139" s="518">
        <v>0</v>
      </c>
      <c r="I139" s="518">
        <v>0</v>
      </c>
      <c r="J139" s="518">
        <v>0</v>
      </c>
      <c r="K139" s="518">
        <v>0</v>
      </c>
      <c r="L139" s="560">
        <v>214.83</v>
      </c>
      <c r="M139" s="494" t="s">
        <v>573</v>
      </c>
      <c r="N139" s="511"/>
      <c r="O139" s="511"/>
      <c r="P139" s="511"/>
      <c r="Q139" s="511"/>
    </row>
    <row r="140" spans="1:17" ht="12.75">
      <c r="A140" s="504">
        <v>1285</v>
      </c>
      <c r="B140" s="500">
        <v>17640</v>
      </c>
      <c r="C140" s="503">
        <v>44552</v>
      </c>
      <c r="D140" s="500" t="s">
        <v>437</v>
      </c>
      <c r="E140" s="518">
        <v>0</v>
      </c>
      <c r="F140" s="518">
        <v>306.9</v>
      </c>
      <c r="G140" s="518">
        <v>600</v>
      </c>
      <c r="H140" s="518">
        <v>0</v>
      </c>
      <c r="I140" s="518">
        <v>20.7</v>
      </c>
      <c r="J140" s="518">
        <v>0</v>
      </c>
      <c r="K140" s="518">
        <v>0</v>
      </c>
      <c r="L140" s="560">
        <v>927.6</v>
      </c>
      <c r="M140" s="494" t="s">
        <v>516</v>
      </c>
      <c r="N140" s="511"/>
      <c r="O140" s="511"/>
      <c r="P140" s="511"/>
      <c r="Q140" s="511"/>
    </row>
    <row r="141" spans="1:17" ht="12.75">
      <c r="A141" s="502">
        <v>1286</v>
      </c>
      <c r="B141" s="501">
        <v>17641</v>
      </c>
      <c r="C141" s="505">
        <v>44552</v>
      </c>
      <c r="D141" s="501" t="s">
        <v>437</v>
      </c>
      <c r="E141" s="518">
        <v>0</v>
      </c>
      <c r="F141" s="518">
        <v>225.06</v>
      </c>
      <c r="G141" s="518">
        <v>600</v>
      </c>
      <c r="H141" s="518">
        <v>0</v>
      </c>
      <c r="I141" s="518">
        <v>20.7</v>
      </c>
      <c r="J141" s="518">
        <v>0</v>
      </c>
      <c r="K141" s="518">
        <v>0</v>
      </c>
      <c r="L141" s="560">
        <v>845.76</v>
      </c>
      <c r="M141" s="494" t="s">
        <v>515</v>
      </c>
      <c r="N141" s="511"/>
      <c r="O141" s="511"/>
      <c r="P141" s="511"/>
      <c r="Q141" s="511"/>
    </row>
    <row r="142" spans="1:17" ht="15">
      <c r="A142" s="504">
        <v>1287</v>
      </c>
      <c r="B142" s="500">
        <v>17642</v>
      </c>
      <c r="C142" s="503">
        <v>44552</v>
      </c>
      <c r="D142" s="491" t="s">
        <v>369</v>
      </c>
      <c r="E142" s="559">
        <v>0</v>
      </c>
      <c r="F142" s="559">
        <v>620.14</v>
      </c>
      <c r="G142" s="559">
        <v>1200</v>
      </c>
      <c r="H142" s="559">
        <v>31.9</v>
      </c>
      <c r="I142" s="559">
        <v>0</v>
      </c>
      <c r="J142" s="559">
        <v>0</v>
      </c>
      <c r="K142" s="559">
        <v>0</v>
      </c>
      <c r="L142" s="562">
        <v>1852.04</v>
      </c>
      <c r="M142" s="516" t="s">
        <v>515</v>
      </c>
      <c r="N142" s="511"/>
      <c r="O142" s="511"/>
      <c r="P142" s="511"/>
      <c r="Q142" s="511"/>
    </row>
    <row r="143" spans="1:17" ht="12.75">
      <c r="A143" s="504">
        <v>1288</v>
      </c>
      <c r="B143" s="500">
        <v>17643</v>
      </c>
      <c r="C143" s="503">
        <v>44552</v>
      </c>
      <c r="D143" s="500" t="s">
        <v>369</v>
      </c>
      <c r="E143" s="518">
        <v>0</v>
      </c>
      <c r="F143" s="518">
        <v>401.02</v>
      </c>
      <c r="G143" s="518">
        <v>0</v>
      </c>
      <c r="H143" s="518">
        <v>0</v>
      </c>
      <c r="I143" s="518">
        <v>0</v>
      </c>
      <c r="J143" s="518">
        <v>0</v>
      </c>
      <c r="K143" s="518">
        <v>0</v>
      </c>
      <c r="L143" s="560">
        <v>401.02</v>
      </c>
      <c r="M143" s="494" t="s">
        <v>451</v>
      </c>
      <c r="N143" s="511"/>
      <c r="O143" s="511"/>
      <c r="P143" s="511"/>
      <c r="Q143" s="511"/>
    </row>
    <row r="144" spans="1:17" ht="12.75">
      <c r="A144" s="504">
        <v>1289</v>
      </c>
      <c r="B144" s="500">
        <v>17644</v>
      </c>
      <c r="C144" s="503">
        <v>44552</v>
      </c>
      <c r="D144" s="500" t="s">
        <v>369</v>
      </c>
      <c r="E144" s="518">
        <v>0</v>
      </c>
      <c r="F144" s="518">
        <v>0</v>
      </c>
      <c r="G144" s="518">
        <v>600</v>
      </c>
      <c r="H144" s="518">
        <v>223.3</v>
      </c>
      <c r="I144" s="518">
        <v>0</v>
      </c>
      <c r="J144" s="518">
        <v>0</v>
      </c>
      <c r="K144" s="518">
        <v>0</v>
      </c>
      <c r="L144" s="560">
        <v>823.3</v>
      </c>
      <c r="M144" s="494" t="s">
        <v>404</v>
      </c>
      <c r="N144" s="511"/>
      <c r="O144" s="511"/>
      <c r="P144" s="511"/>
      <c r="Q144" s="511"/>
    </row>
    <row r="145" spans="1:17" ht="12.75">
      <c r="A145" s="504">
        <v>1290</v>
      </c>
      <c r="B145" s="500">
        <v>17645</v>
      </c>
      <c r="C145" s="503">
        <v>44557</v>
      </c>
      <c r="D145" s="500" t="s">
        <v>369</v>
      </c>
      <c r="E145" s="518">
        <v>0</v>
      </c>
      <c r="F145" s="518">
        <v>591.5</v>
      </c>
      <c r="G145" s="518">
        <v>1507.32</v>
      </c>
      <c r="H145" s="518">
        <v>0</v>
      </c>
      <c r="I145" s="518">
        <v>0</v>
      </c>
      <c r="J145" s="518">
        <v>0</v>
      </c>
      <c r="K145" s="518">
        <v>0</v>
      </c>
      <c r="L145" s="560">
        <v>2098.82</v>
      </c>
      <c r="M145" s="494" t="s">
        <v>377</v>
      </c>
      <c r="N145" s="511"/>
      <c r="O145" s="511"/>
      <c r="P145" s="511"/>
      <c r="Q145" s="511"/>
    </row>
    <row r="146" spans="1:17" ht="12.75">
      <c r="A146" s="504">
        <v>1291</v>
      </c>
      <c r="B146" s="500">
        <v>17646</v>
      </c>
      <c r="C146" s="503">
        <v>44557</v>
      </c>
      <c r="D146" s="500" t="s">
        <v>369</v>
      </c>
      <c r="E146" s="518">
        <v>0</v>
      </c>
      <c r="F146" s="518">
        <v>589.66</v>
      </c>
      <c r="G146" s="518">
        <v>600</v>
      </c>
      <c r="H146" s="518">
        <v>0</v>
      </c>
      <c r="I146" s="518">
        <v>0</v>
      </c>
      <c r="J146" s="518">
        <v>0</v>
      </c>
      <c r="K146" s="518">
        <v>0</v>
      </c>
      <c r="L146" s="560">
        <v>1189.66</v>
      </c>
      <c r="M146" s="517" t="s">
        <v>416</v>
      </c>
      <c r="N146" s="511"/>
      <c r="O146" s="511"/>
      <c r="P146" s="511"/>
      <c r="Q146" s="511"/>
    </row>
    <row r="147" spans="1:17" ht="15">
      <c r="A147" s="504">
        <v>1292</v>
      </c>
      <c r="B147" s="500">
        <v>17647</v>
      </c>
      <c r="C147" s="503">
        <v>44557</v>
      </c>
      <c r="D147" s="491" t="s">
        <v>369</v>
      </c>
      <c r="E147" s="559">
        <v>0</v>
      </c>
      <c r="F147" s="559">
        <v>453.19</v>
      </c>
      <c r="G147" s="559">
        <v>600</v>
      </c>
      <c r="H147" s="559">
        <v>0</v>
      </c>
      <c r="I147" s="559">
        <v>0</v>
      </c>
      <c r="J147" s="559">
        <v>0</v>
      </c>
      <c r="K147" s="559">
        <v>0</v>
      </c>
      <c r="L147" s="562">
        <v>1053.19</v>
      </c>
      <c r="M147" s="517" t="s">
        <v>455</v>
      </c>
      <c r="N147" s="511"/>
      <c r="O147" s="511"/>
      <c r="P147" s="511"/>
      <c r="Q147" s="511"/>
    </row>
    <row r="148" spans="1:17" ht="12.75">
      <c r="A148" s="504">
        <v>1293</v>
      </c>
      <c r="B148" s="500">
        <v>17648</v>
      </c>
      <c r="C148" s="503">
        <v>44557</v>
      </c>
      <c r="D148" s="500" t="s">
        <v>369</v>
      </c>
      <c r="E148" s="518">
        <v>0</v>
      </c>
      <c r="F148" s="518">
        <v>401.02</v>
      </c>
      <c r="G148" s="518">
        <v>0</v>
      </c>
      <c r="H148" s="518">
        <v>0</v>
      </c>
      <c r="I148" s="518">
        <v>0</v>
      </c>
      <c r="J148" s="518">
        <v>0</v>
      </c>
      <c r="K148" s="518">
        <v>0</v>
      </c>
      <c r="L148" s="560">
        <v>401.02</v>
      </c>
      <c r="M148" s="517" t="s">
        <v>574</v>
      </c>
      <c r="N148" s="511"/>
      <c r="O148" s="511"/>
      <c r="P148" s="511"/>
      <c r="Q148" s="511"/>
    </row>
    <row r="149" spans="1:17" ht="15">
      <c r="A149" s="504">
        <v>1294</v>
      </c>
      <c r="B149" s="500">
        <v>17649</v>
      </c>
      <c r="C149" s="503">
        <v>44557</v>
      </c>
      <c r="D149" s="491" t="s">
        <v>472</v>
      </c>
      <c r="E149" s="559">
        <v>2175</v>
      </c>
      <c r="F149" s="559">
        <v>2455.2</v>
      </c>
      <c r="G149" s="559">
        <v>600</v>
      </c>
      <c r="H149" s="559">
        <v>0</v>
      </c>
      <c r="I149" s="559">
        <v>0</v>
      </c>
      <c r="J149" s="559">
        <v>0</v>
      </c>
      <c r="K149" s="559">
        <v>0</v>
      </c>
      <c r="L149" s="562">
        <v>5230.2</v>
      </c>
      <c r="M149" s="517" t="s">
        <v>378</v>
      </c>
      <c r="N149" s="511"/>
      <c r="O149" s="511"/>
      <c r="P149" s="511"/>
      <c r="Q149" s="511"/>
    </row>
    <row r="150" spans="1:17" ht="12.75">
      <c r="A150" s="504">
        <v>1295</v>
      </c>
      <c r="B150" s="500">
        <v>17650</v>
      </c>
      <c r="C150" s="503">
        <v>44557</v>
      </c>
      <c r="D150" s="500" t="s">
        <v>472</v>
      </c>
      <c r="E150" s="518">
        <v>0</v>
      </c>
      <c r="F150" s="518">
        <v>1109.54</v>
      </c>
      <c r="G150" s="518">
        <v>1800</v>
      </c>
      <c r="H150" s="518">
        <v>31.9</v>
      </c>
      <c r="I150" s="518">
        <v>0</v>
      </c>
      <c r="J150" s="518">
        <v>0</v>
      </c>
      <c r="K150" s="518">
        <v>0</v>
      </c>
      <c r="L150" s="560">
        <v>2941.44</v>
      </c>
      <c r="M150" s="517" t="s">
        <v>573</v>
      </c>
      <c r="N150" s="511"/>
      <c r="O150" s="511"/>
      <c r="P150" s="511"/>
      <c r="Q150" s="511"/>
    </row>
    <row r="151" spans="1:17" ht="15">
      <c r="A151" s="504">
        <v>1296</v>
      </c>
      <c r="B151" s="500">
        <v>17651</v>
      </c>
      <c r="C151" s="503">
        <v>44558</v>
      </c>
      <c r="D151" s="491" t="s">
        <v>472</v>
      </c>
      <c r="E151" s="559">
        <v>0</v>
      </c>
      <c r="F151" s="559">
        <v>775.84</v>
      </c>
      <c r="G151" s="559">
        <v>1200</v>
      </c>
      <c r="H151" s="559">
        <v>0</v>
      </c>
      <c r="I151" s="559">
        <v>0</v>
      </c>
      <c r="J151" s="559">
        <v>0</v>
      </c>
      <c r="K151" s="559">
        <v>0</v>
      </c>
      <c r="L151" s="562">
        <v>1975.84</v>
      </c>
      <c r="M151" s="517" t="s">
        <v>454</v>
      </c>
      <c r="N151" s="511"/>
      <c r="O151" s="519"/>
      <c r="P151" s="511"/>
      <c r="Q151" s="511"/>
    </row>
    <row r="152" spans="1:17" ht="12.75">
      <c r="A152" s="504">
        <v>1297</v>
      </c>
      <c r="B152" s="500">
        <v>17652</v>
      </c>
      <c r="C152" s="503">
        <v>44558</v>
      </c>
      <c r="D152" s="500" t="s">
        <v>472</v>
      </c>
      <c r="E152" s="518">
        <v>0</v>
      </c>
      <c r="F152" s="518">
        <v>186.19</v>
      </c>
      <c r="G152" s="518">
        <v>0</v>
      </c>
      <c r="H152" s="518">
        <v>0</v>
      </c>
      <c r="I152" s="518">
        <v>0</v>
      </c>
      <c r="J152" s="518">
        <v>0</v>
      </c>
      <c r="K152" s="518">
        <v>0</v>
      </c>
      <c r="L152" s="560">
        <v>186.19</v>
      </c>
      <c r="M152" s="517" t="s">
        <v>575</v>
      </c>
      <c r="N152" s="511"/>
      <c r="O152" s="511"/>
      <c r="P152" s="511"/>
      <c r="Q152" s="511"/>
    </row>
    <row r="153" spans="1:17" ht="15">
      <c r="A153" s="504">
        <v>1298</v>
      </c>
      <c r="B153" s="500">
        <v>17653</v>
      </c>
      <c r="C153" s="503">
        <v>44558</v>
      </c>
      <c r="D153" s="491" t="s">
        <v>472</v>
      </c>
      <c r="E153" s="559">
        <v>49388.5</v>
      </c>
      <c r="F153" s="559">
        <v>0</v>
      </c>
      <c r="G153" s="559">
        <v>0</v>
      </c>
      <c r="H153" s="559">
        <v>0</v>
      </c>
      <c r="I153" s="559">
        <v>0</v>
      </c>
      <c r="J153" s="559">
        <v>0</v>
      </c>
      <c r="K153" s="559">
        <v>0</v>
      </c>
      <c r="L153" s="562">
        <v>49388.5</v>
      </c>
      <c r="M153" s="517" t="s">
        <v>576</v>
      </c>
      <c r="N153" s="511"/>
      <c r="O153" s="511"/>
      <c r="P153" s="511"/>
      <c r="Q153" s="511"/>
    </row>
    <row r="154" spans="1:17" ht="15">
      <c r="A154" s="504">
        <v>1299</v>
      </c>
      <c r="B154" s="500">
        <v>17654</v>
      </c>
      <c r="C154" s="503">
        <v>44558</v>
      </c>
      <c r="D154" s="500" t="s">
        <v>577</v>
      </c>
      <c r="E154" s="518">
        <v>9618.99</v>
      </c>
      <c r="F154" s="518">
        <v>0</v>
      </c>
      <c r="G154" s="518">
        <v>0</v>
      </c>
      <c r="H154" s="518">
        <v>0</v>
      </c>
      <c r="I154" s="518">
        <v>0</v>
      </c>
      <c r="J154" s="518">
        <v>0</v>
      </c>
      <c r="K154" s="518">
        <v>0</v>
      </c>
      <c r="L154" s="560">
        <v>9618.99</v>
      </c>
      <c r="M154" s="520" t="s">
        <v>578</v>
      </c>
      <c r="N154" s="511"/>
      <c r="O154" s="511"/>
      <c r="P154" s="511"/>
      <c r="Q154" s="511"/>
    </row>
    <row r="155" spans="1:17" ht="15">
      <c r="A155" s="547">
        <v>1300</v>
      </c>
      <c r="B155" s="545">
        <v>17655</v>
      </c>
      <c r="C155" s="544">
        <v>44558</v>
      </c>
      <c r="D155" s="543" t="s">
        <v>374</v>
      </c>
      <c r="E155" s="558">
        <v>0</v>
      </c>
      <c r="F155" s="558">
        <v>0</v>
      </c>
      <c r="G155" s="558">
        <v>0</v>
      </c>
      <c r="H155" s="558">
        <v>0</v>
      </c>
      <c r="I155" s="558">
        <v>0</v>
      </c>
      <c r="J155" s="558">
        <v>0</v>
      </c>
      <c r="K155" s="558">
        <v>0</v>
      </c>
      <c r="L155" s="563" t="s">
        <v>441</v>
      </c>
      <c r="M155" s="548" t="s">
        <v>372</v>
      </c>
      <c r="N155" s="511"/>
      <c r="O155" s="511"/>
      <c r="P155" s="511"/>
      <c r="Q155" s="511"/>
    </row>
    <row r="156" spans="1:17" ht="15">
      <c r="A156" s="504">
        <v>1301</v>
      </c>
      <c r="B156" s="500">
        <v>17656</v>
      </c>
      <c r="C156" s="503">
        <v>44558</v>
      </c>
      <c r="D156" s="500" t="s">
        <v>415</v>
      </c>
      <c r="E156" s="518">
        <v>0</v>
      </c>
      <c r="F156" s="518">
        <v>1417.87</v>
      </c>
      <c r="G156" s="518">
        <v>0</v>
      </c>
      <c r="H156" s="518">
        <v>0</v>
      </c>
      <c r="I156" s="518">
        <v>0</v>
      </c>
      <c r="J156" s="518">
        <v>0</v>
      </c>
      <c r="K156" s="518">
        <v>0</v>
      </c>
      <c r="L156" s="560">
        <v>1417.87</v>
      </c>
      <c r="M156" s="521" t="s">
        <v>474</v>
      </c>
      <c r="N156" s="511"/>
      <c r="O156" s="511"/>
      <c r="P156" s="511"/>
      <c r="Q156" s="511"/>
    </row>
    <row r="157" spans="1:17" ht="12.75">
      <c r="A157" s="504">
        <v>1302</v>
      </c>
      <c r="B157" s="500">
        <v>17657</v>
      </c>
      <c r="C157" s="503">
        <v>44558</v>
      </c>
      <c r="D157" s="500" t="s">
        <v>403</v>
      </c>
      <c r="E157" s="518">
        <v>0</v>
      </c>
      <c r="F157" s="518">
        <v>889.4</v>
      </c>
      <c r="G157" s="518">
        <v>1200</v>
      </c>
      <c r="H157" s="518">
        <v>0</v>
      </c>
      <c r="I157" s="518">
        <v>0</v>
      </c>
      <c r="J157" s="518">
        <v>0</v>
      </c>
      <c r="K157" s="518">
        <v>0</v>
      </c>
      <c r="L157" s="560">
        <v>2089.4</v>
      </c>
      <c r="M157" s="500" t="s">
        <v>579</v>
      </c>
      <c r="N157" s="511"/>
      <c r="O157" s="511"/>
      <c r="P157" s="511"/>
      <c r="Q157" s="511"/>
    </row>
    <row r="158" spans="1:17" ht="12.75">
      <c r="A158" s="504">
        <v>1303</v>
      </c>
      <c r="B158" s="500">
        <v>17658</v>
      </c>
      <c r="C158" s="503">
        <v>44558</v>
      </c>
      <c r="D158" s="500" t="s">
        <v>577</v>
      </c>
      <c r="E158" s="518">
        <v>0</v>
      </c>
      <c r="F158" s="518">
        <v>429.66</v>
      </c>
      <c r="G158" s="518">
        <v>0</v>
      </c>
      <c r="H158" s="518">
        <v>0</v>
      </c>
      <c r="I158" s="518">
        <v>0</v>
      </c>
      <c r="J158" s="518">
        <v>0</v>
      </c>
      <c r="K158" s="518">
        <v>0</v>
      </c>
      <c r="L158" s="560">
        <v>429.66</v>
      </c>
      <c r="M158" s="500" t="s">
        <v>580</v>
      </c>
      <c r="N158" s="511"/>
      <c r="O158" s="511"/>
      <c r="P158" s="511"/>
      <c r="Q158" s="511"/>
    </row>
    <row r="159" spans="1:17" ht="12.75">
      <c r="A159" s="504">
        <v>1304</v>
      </c>
      <c r="B159" s="500">
        <v>17659</v>
      </c>
      <c r="C159" s="503">
        <v>44558</v>
      </c>
      <c r="D159" s="500" t="s">
        <v>370</v>
      </c>
      <c r="E159" s="518">
        <v>0</v>
      </c>
      <c r="F159" s="518">
        <v>500.66</v>
      </c>
      <c r="G159" s="518">
        <v>600</v>
      </c>
      <c r="H159" s="518">
        <v>223.44</v>
      </c>
      <c r="I159" s="518">
        <v>0</v>
      </c>
      <c r="J159" s="518">
        <v>0</v>
      </c>
      <c r="K159" s="518">
        <v>0</v>
      </c>
      <c r="L159" s="560">
        <v>1324.1</v>
      </c>
      <c r="M159" s="499" t="s">
        <v>373</v>
      </c>
      <c r="N159" s="511"/>
      <c r="O159" s="511"/>
      <c r="P159" s="511"/>
      <c r="Q159" s="511"/>
    </row>
    <row r="160" spans="1:17" ht="12.75">
      <c r="A160" s="524">
        <v>1305</v>
      </c>
      <c r="B160" s="500">
        <v>17660</v>
      </c>
      <c r="C160" s="525">
        <v>44558</v>
      </c>
      <c r="D160" s="500" t="s">
        <v>440</v>
      </c>
      <c r="E160" s="518">
        <v>0</v>
      </c>
      <c r="F160" s="518">
        <v>238.36</v>
      </c>
      <c r="G160" s="518">
        <v>600</v>
      </c>
      <c r="H160" s="518">
        <v>0</v>
      </c>
      <c r="I160" s="518">
        <v>20.7</v>
      </c>
      <c r="J160" s="518">
        <v>0</v>
      </c>
      <c r="K160" s="518">
        <v>0</v>
      </c>
      <c r="L160" s="560">
        <v>859.06</v>
      </c>
      <c r="M160" s="500" t="s">
        <v>581</v>
      </c>
      <c r="N160" s="511"/>
      <c r="O160" s="511"/>
      <c r="P160" s="511"/>
      <c r="Q160" s="511"/>
    </row>
    <row r="161" spans="1:17" ht="12.75">
      <c r="A161" s="511">
        <v>1306</v>
      </c>
      <c r="B161" s="500">
        <v>17661</v>
      </c>
      <c r="C161" s="503">
        <v>44558</v>
      </c>
      <c r="D161" s="500" t="s">
        <v>440</v>
      </c>
      <c r="E161" s="518">
        <v>0</v>
      </c>
      <c r="F161" s="518">
        <v>238.36</v>
      </c>
      <c r="G161" s="550">
        <v>600</v>
      </c>
      <c r="H161" s="518">
        <v>0</v>
      </c>
      <c r="I161" s="518">
        <v>20.7</v>
      </c>
      <c r="J161" s="518">
        <v>0</v>
      </c>
      <c r="K161" s="518">
        <v>0</v>
      </c>
      <c r="L161" s="527">
        <v>859.06</v>
      </c>
      <c r="M161" s="500" t="s">
        <v>416</v>
      </c>
      <c r="N161" s="511"/>
      <c r="O161" s="511"/>
      <c r="P161" s="511"/>
      <c r="Q161" s="511"/>
    </row>
    <row r="162" spans="1:17" ht="12.75">
      <c r="A162" s="511">
        <v>1307</v>
      </c>
      <c r="B162" s="500">
        <v>17662</v>
      </c>
      <c r="C162" s="503">
        <v>44558</v>
      </c>
      <c r="D162" s="500" t="s">
        <v>582</v>
      </c>
      <c r="E162" s="518">
        <v>0</v>
      </c>
      <c r="F162" s="518">
        <v>2826.89</v>
      </c>
      <c r="G162" s="550">
        <v>0</v>
      </c>
      <c r="H162" s="518">
        <v>0</v>
      </c>
      <c r="I162" s="518">
        <v>0</v>
      </c>
      <c r="J162" s="518">
        <v>0</v>
      </c>
      <c r="K162" s="518">
        <v>0</v>
      </c>
      <c r="L162" s="527">
        <v>2826.89</v>
      </c>
      <c r="M162" s="499" t="s">
        <v>511</v>
      </c>
      <c r="N162" s="511"/>
      <c r="O162" s="511"/>
      <c r="P162" s="511"/>
      <c r="Q162" s="511"/>
    </row>
    <row r="163" spans="1:17" ht="12.75">
      <c r="A163" s="511">
        <v>1308</v>
      </c>
      <c r="B163" s="500">
        <v>17663</v>
      </c>
      <c r="C163" s="503">
        <v>44558</v>
      </c>
      <c r="D163" s="500" t="s">
        <v>435</v>
      </c>
      <c r="E163" s="518">
        <v>0</v>
      </c>
      <c r="F163" s="518">
        <v>306.9</v>
      </c>
      <c r="G163" s="550">
        <v>600</v>
      </c>
      <c r="H163" s="518">
        <v>0</v>
      </c>
      <c r="I163" s="518">
        <v>0</v>
      </c>
      <c r="J163" s="518">
        <v>0</v>
      </c>
      <c r="K163" s="518">
        <v>0</v>
      </c>
      <c r="L163" s="527">
        <v>906.9</v>
      </c>
      <c r="M163" s="500" t="s">
        <v>575</v>
      </c>
      <c r="N163" s="511"/>
      <c r="O163" s="511"/>
      <c r="P163" s="511"/>
      <c r="Q163" s="511"/>
    </row>
    <row r="164" spans="1:17" ht="12.75">
      <c r="A164" s="511">
        <v>1309</v>
      </c>
      <c r="B164" s="500">
        <v>17664</v>
      </c>
      <c r="C164" s="503">
        <v>44558</v>
      </c>
      <c r="D164" s="500" t="s">
        <v>439</v>
      </c>
      <c r="E164" s="518">
        <v>0</v>
      </c>
      <c r="F164" s="518">
        <v>620.14</v>
      </c>
      <c r="G164" s="550">
        <v>600</v>
      </c>
      <c r="H164" s="518">
        <v>0</v>
      </c>
      <c r="I164" s="518">
        <v>0</v>
      </c>
      <c r="J164" s="518">
        <v>0</v>
      </c>
      <c r="K164" s="518">
        <v>0</v>
      </c>
      <c r="L164" s="550">
        <v>1220.14</v>
      </c>
      <c r="M164" s="500" t="s">
        <v>583</v>
      </c>
      <c r="N164" s="511"/>
      <c r="O164" s="511"/>
      <c r="P164" s="511"/>
      <c r="Q164" s="511"/>
    </row>
    <row r="165" spans="1:17" ht="12.75">
      <c r="A165" s="511">
        <v>1310</v>
      </c>
      <c r="B165" s="500">
        <v>17665</v>
      </c>
      <c r="C165" s="503">
        <v>44559</v>
      </c>
      <c r="D165" s="500" t="s">
        <v>438</v>
      </c>
      <c r="E165" s="518">
        <v>0</v>
      </c>
      <c r="F165" s="518">
        <v>810.2</v>
      </c>
      <c r="G165" s="526">
        <v>0</v>
      </c>
      <c r="H165" s="518">
        <v>0</v>
      </c>
      <c r="I165" s="518">
        <v>0</v>
      </c>
      <c r="J165" s="518">
        <v>0</v>
      </c>
      <c r="K165" s="518">
        <v>0</v>
      </c>
      <c r="L165" s="527">
        <v>810.2</v>
      </c>
      <c r="M165" s="523" t="s">
        <v>474</v>
      </c>
      <c r="N165" s="511"/>
      <c r="O165" s="511"/>
      <c r="P165" s="511"/>
      <c r="Q165" s="511"/>
    </row>
    <row r="166" spans="1:17" ht="12.75">
      <c r="A166" s="511">
        <v>1311</v>
      </c>
      <c r="B166" s="500">
        <v>17666</v>
      </c>
      <c r="C166" s="503">
        <v>44559</v>
      </c>
      <c r="D166" s="500" t="s">
        <v>374</v>
      </c>
      <c r="E166" s="518"/>
      <c r="F166" s="518">
        <v>0</v>
      </c>
      <c r="G166" s="518">
        <v>0</v>
      </c>
      <c r="H166" s="518">
        <v>7922.42</v>
      </c>
      <c r="I166" s="518">
        <v>0</v>
      </c>
      <c r="J166" s="518">
        <v>0</v>
      </c>
      <c r="K166" s="518">
        <v>0</v>
      </c>
      <c r="L166" s="527">
        <v>7922.42</v>
      </c>
      <c r="M166" s="500" t="s">
        <v>584</v>
      </c>
      <c r="N166" s="511"/>
      <c r="O166" s="511"/>
      <c r="P166" s="511"/>
      <c r="Q166" s="511"/>
    </row>
    <row r="167" spans="1:17" ht="12.75">
      <c r="A167" s="511">
        <v>1312</v>
      </c>
      <c r="B167" s="500">
        <v>17667</v>
      </c>
      <c r="C167" s="503">
        <v>44561</v>
      </c>
      <c r="D167" s="500" t="s">
        <v>559</v>
      </c>
      <c r="E167" s="518">
        <v>0</v>
      </c>
      <c r="F167" s="518">
        <v>0</v>
      </c>
      <c r="G167" s="518">
        <v>0</v>
      </c>
      <c r="H167" s="518">
        <v>33446.49</v>
      </c>
      <c r="I167" s="518">
        <v>0</v>
      </c>
      <c r="J167" s="518">
        <v>0</v>
      </c>
      <c r="K167" s="518">
        <v>0</v>
      </c>
      <c r="L167" s="527">
        <v>33446.49</v>
      </c>
      <c r="M167" s="523" t="s">
        <v>585</v>
      </c>
      <c r="N167" s="511"/>
      <c r="O167" s="511"/>
      <c r="P167" s="511"/>
      <c r="Q167" s="511"/>
    </row>
    <row r="168" spans="1:17" ht="12.75">
      <c r="A168" s="511">
        <v>1313</v>
      </c>
      <c r="B168" s="500">
        <v>17668</v>
      </c>
      <c r="C168" s="503">
        <v>44561</v>
      </c>
      <c r="D168" s="500" t="s">
        <v>559</v>
      </c>
      <c r="E168" s="518">
        <v>0</v>
      </c>
      <c r="F168" s="518">
        <v>0</v>
      </c>
      <c r="G168" s="518">
        <v>0</v>
      </c>
      <c r="H168" s="518">
        <v>24639.51</v>
      </c>
      <c r="I168" s="518">
        <v>0</v>
      </c>
      <c r="J168" s="518">
        <v>0</v>
      </c>
      <c r="K168" s="518">
        <v>0</v>
      </c>
      <c r="L168" s="527">
        <v>24639.51</v>
      </c>
      <c r="M168" s="500" t="s">
        <v>586</v>
      </c>
      <c r="N168" s="511"/>
      <c r="O168" s="511"/>
      <c r="P168" s="511"/>
      <c r="Q168" s="511"/>
    </row>
    <row r="169" spans="1:17" ht="12.75">
      <c r="A169" s="524">
        <v>1314</v>
      </c>
      <c r="B169" s="500">
        <v>17669</v>
      </c>
      <c r="C169" s="525">
        <v>44561</v>
      </c>
      <c r="D169" s="500" t="s">
        <v>374</v>
      </c>
      <c r="E169" s="518">
        <v>0</v>
      </c>
      <c r="F169" s="518">
        <v>0</v>
      </c>
      <c r="G169" s="518">
        <v>0</v>
      </c>
      <c r="H169" s="518">
        <v>5200</v>
      </c>
      <c r="I169" s="518">
        <v>0</v>
      </c>
      <c r="J169" s="518">
        <v>0</v>
      </c>
      <c r="K169" s="518">
        <v>0</v>
      </c>
      <c r="L169" s="527">
        <v>5200</v>
      </c>
      <c r="M169" s="523" t="s">
        <v>587</v>
      </c>
      <c r="N169" s="511"/>
      <c r="O169" s="511"/>
      <c r="P169" s="511"/>
      <c r="Q169" s="511"/>
    </row>
    <row r="170" spans="1:17" ht="12.75">
      <c r="A170" s="511">
        <v>1315</v>
      </c>
      <c r="B170" s="500">
        <v>17670</v>
      </c>
      <c r="C170" s="503">
        <v>44561</v>
      </c>
      <c r="D170" s="500" t="s">
        <v>369</v>
      </c>
      <c r="E170" s="518">
        <v>0</v>
      </c>
      <c r="F170" s="518">
        <v>403.47</v>
      </c>
      <c r="G170" s="518">
        <v>600</v>
      </c>
      <c r="H170" s="518">
        <v>446.88</v>
      </c>
      <c r="I170" s="518">
        <v>0</v>
      </c>
      <c r="J170" s="518">
        <v>0</v>
      </c>
      <c r="K170" s="518">
        <v>0</v>
      </c>
      <c r="L170" s="527">
        <v>1450.35</v>
      </c>
      <c r="M170" s="500" t="s">
        <v>413</v>
      </c>
      <c r="N170" s="511"/>
      <c r="O170" s="511"/>
      <c r="P170" s="511"/>
      <c r="Q170" s="511"/>
    </row>
    <row r="171" spans="1:17" ht="12.75">
      <c r="A171" s="511">
        <v>1316</v>
      </c>
      <c r="B171" s="500">
        <v>17671</v>
      </c>
      <c r="C171" s="503">
        <v>44561</v>
      </c>
      <c r="D171" s="500" t="s">
        <v>369</v>
      </c>
      <c r="E171" s="518">
        <v>0</v>
      </c>
      <c r="F171" s="518">
        <v>403.47</v>
      </c>
      <c r="G171" s="518">
        <v>1200</v>
      </c>
      <c r="H171" s="518">
        <v>31.9</v>
      </c>
      <c r="I171" s="518">
        <v>0</v>
      </c>
      <c r="J171" s="518">
        <v>0</v>
      </c>
      <c r="K171" s="518">
        <v>0</v>
      </c>
      <c r="L171" s="527">
        <v>1635.37</v>
      </c>
      <c r="M171" s="523" t="s">
        <v>384</v>
      </c>
      <c r="N171" s="511"/>
      <c r="O171" s="511"/>
      <c r="P171" s="511"/>
      <c r="Q171" s="511"/>
    </row>
    <row r="172" spans="1:17" ht="12.75">
      <c r="A172" s="511">
        <v>1317</v>
      </c>
      <c r="B172" s="500">
        <v>17672</v>
      </c>
      <c r="C172" s="503">
        <v>44561</v>
      </c>
      <c r="D172" s="500" t="s">
        <v>370</v>
      </c>
      <c r="E172" s="518">
        <v>0</v>
      </c>
      <c r="F172" s="518">
        <v>184.14</v>
      </c>
      <c r="G172" s="518">
        <v>600</v>
      </c>
      <c r="H172" s="518">
        <v>0</v>
      </c>
      <c r="I172" s="518">
        <v>0</v>
      </c>
      <c r="J172" s="518">
        <v>0</v>
      </c>
      <c r="K172" s="518">
        <v>0</v>
      </c>
      <c r="L172" s="527">
        <v>784.14</v>
      </c>
      <c r="M172" s="500" t="s">
        <v>381</v>
      </c>
      <c r="N172" s="511"/>
      <c r="O172" s="511"/>
      <c r="P172" s="511"/>
      <c r="Q172" s="511"/>
    </row>
    <row r="173" spans="1:17" ht="12.75">
      <c r="A173" s="511">
        <v>1318</v>
      </c>
      <c r="B173" s="500">
        <v>17673</v>
      </c>
      <c r="C173" s="503">
        <v>44561</v>
      </c>
      <c r="D173" s="500" t="s">
        <v>370</v>
      </c>
      <c r="E173" s="518">
        <v>0</v>
      </c>
      <c r="F173" s="518">
        <v>405.1</v>
      </c>
      <c r="G173" s="518">
        <v>0</v>
      </c>
      <c r="H173" s="518">
        <v>0</v>
      </c>
      <c r="I173" s="518">
        <v>0</v>
      </c>
      <c r="J173" s="518">
        <v>0</v>
      </c>
      <c r="K173" s="518">
        <v>0</v>
      </c>
      <c r="L173" s="527">
        <v>405.1</v>
      </c>
      <c r="M173" s="523" t="s">
        <v>588</v>
      </c>
      <c r="N173" s="511"/>
      <c r="O173" s="511"/>
      <c r="P173" s="511"/>
      <c r="Q173" s="511"/>
    </row>
    <row r="174" spans="1:17" ht="12.75">
      <c r="A174" s="511">
        <v>1319</v>
      </c>
      <c r="B174" s="500">
        <v>17676</v>
      </c>
      <c r="C174" s="503">
        <v>44561</v>
      </c>
      <c r="D174" s="500" t="s">
        <v>371</v>
      </c>
      <c r="E174" s="518">
        <v>0</v>
      </c>
      <c r="F174" s="518">
        <v>186.19</v>
      </c>
      <c r="G174" s="518">
        <v>0</v>
      </c>
      <c r="H174" s="518">
        <v>0</v>
      </c>
      <c r="I174" s="518">
        <v>0</v>
      </c>
      <c r="J174" s="518">
        <v>0</v>
      </c>
      <c r="K174" s="518">
        <v>0</v>
      </c>
      <c r="L174" s="527">
        <v>186.19</v>
      </c>
      <c r="M174" s="523" t="s">
        <v>589</v>
      </c>
      <c r="N174" s="511"/>
      <c r="O174" s="511"/>
      <c r="P174" s="511"/>
      <c r="Q174" s="511"/>
    </row>
    <row r="175" spans="1:17" ht="12.75">
      <c r="A175" s="511">
        <v>1320</v>
      </c>
      <c r="B175" s="500">
        <v>17674</v>
      </c>
      <c r="C175" s="503">
        <v>44561</v>
      </c>
      <c r="D175" s="500" t="s">
        <v>472</v>
      </c>
      <c r="E175" s="518">
        <v>0</v>
      </c>
      <c r="F175" s="518">
        <v>202.55</v>
      </c>
      <c r="G175" s="518">
        <v>600</v>
      </c>
      <c r="H175" s="518">
        <v>0</v>
      </c>
      <c r="I175" s="518">
        <v>0</v>
      </c>
      <c r="J175" s="518">
        <v>0</v>
      </c>
      <c r="K175" s="518">
        <v>0</v>
      </c>
      <c r="L175" s="527">
        <v>802.55</v>
      </c>
      <c r="M175" s="549" t="s">
        <v>590</v>
      </c>
      <c r="N175" s="511"/>
      <c r="O175" s="511"/>
      <c r="P175" s="511"/>
      <c r="Q175" s="511"/>
    </row>
    <row r="176" spans="1:17" ht="12.75">
      <c r="A176" s="511">
        <v>1321</v>
      </c>
      <c r="B176" s="500">
        <v>17675</v>
      </c>
      <c r="C176" s="503">
        <v>44561</v>
      </c>
      <c r="D176" s="500" t="s">
        <v>369</v>
      </c>
      <c r="E176" s="518">
        <v>0</v>
      </c>
      <c r="F176" s="518">
        <v>0</v>
      </c>
      <c r="G176" s="518">
        <v>600</v>
      </c>
      <c r="H176" s="518">
        <v>446.6</v>
      </c>
      <c r="I176" s="518">
        <v>0</v>
      </c>
      <c r="J176" s="518">
        <v>0</v>
      </c>
      <c r="K176" s="518">
        <v>0</v>
      </c>
      <c r="L176" s="527">
        <v>1046.6</v>
      </c>
      <c r="M176" s="523" t="s">
        <v>591</v>
      </c>
      <c r="N176" s="511"/>
      <c r="O176" s="511"/>
      <c r="P176" s="511"/>
      <c r="Q176" s="511"/>
    </row>
    <row r="177" spans="1:17" ht="12.75">
      <c r="A177" s="511">
        <v>1322</v>
      </c>
      <c r="B177" s="500">
        <v>17678</v>
      </c>
      <c r="C177" s="503">
        <v>44561</v>
      </c>
      <c r="D177" s="500" t="s">
        <v>369</v>
      </c>
      <c r="E177" s="518">
        <v>0</v>
      </c>
      <c r="F177" s="518">
        <v>618.3</v>
      </c>
      <c r="G177" s="518">
        <v>1800</v>
      </c>
      <c r="H177" s="518">
        <v>1004.94</v>
      </c>
      <c r="I177" s="518">
        <v>0</v>
      </c>
      <c r="J177" s="518">
        <v>0</v>
      </c>
      <c r="K177" s="518">
        <v>0</v>
      </c>
      <c r="L177" s="527">
        <v>3423.24</v>
      </c>
      <c r="M177" s="500" t="s">
        <v>592</v>
      </c>
      <c r="N177" s="511"/>
      <c r="O177" s="511"/>
      <c r="P177" s="511"/>
      <c r="Q177" s="511"/>
    </row>
    <row r="178" spans="1:17" ht="12.75">
      <c r="A178" s="553">
        <v>1323</v>
      </c>
      <c r="B178" s="545"/>
      <c r="C178" s="553"/>
      <c r="D178" s="545" t="s">
        <v>480</v>
      </c>
      <c r="E178" s="557">
        <v>0</v>
      </c>
      <c r="F178" s="557">
        <v>0</v>
      </c>
      <c r="G178" s="557">
        <v>0</v>
      </c>
      <c r="H178" s="557">
        <v>0</v>
      </c>
      <c r="I178" s="557">
        <v>0</v>
      </c>
      <c r="J178" s="557">
        <v>0</v>
      </c>
      <c r="K178" s="557">
        <v>0</v>
      </c>
      <c r="L178" s="564" t="s">
        <v>441</v>
      </c>
      <c r="M178" s="554" t="s">
        <v>372</v>
      </c>
      <c r="N178" s="511"/>
      <c r="O178" s="511"/>
      <c r="P178" s="511"/>
      <c r="Q178" s="511"/>
    </row>
    <row r="179" spans="1:17" ht="12.75">
      <c r="A179" s="511">
        <v>1324</v>
      </c>
      <c r="B179" s="500">
        <v>17679</v>
      </c>
      <c r="C179" s="503">
        <v>44561</v>
      </c>
      <c r="D179" s="500" t="s">
        <v>369</v>
      </c>
      <c r="E179" s="518">
        <v>0</v>
      </c>
      <c r="F179" s="518">
        <v>591.5</v>
      </c>
      <c r="G179" s="518">
        <v>1291</v>
      </c>
      <c r="H179" s="518">
        <v>95.7</v>
      </c>
      <c r="I179" s="518">
        <v>0</v>
      </c>
      <c r="J179" s="518">
        <v>0</v>
      </c>
      <c r="K179" s="518">
        <v>0</v>
      </c>
      <c r="L179" s="527">
        <v>1978.2</v>
      </c>
      <c r="M179" s="500" t="s">
        <v>593</v>
      </c>
      <c r="N179" s="511"/>
      <c r="O179" s="511"/>
      <c r="P179" s="511"/>
      <c r="Q179" s="511"/>
    </row>
    <row r="180" spans="1:17" ht="12.75">
      <c r="A180" s="511">
        <v>1325</v>
      </c>
      <c r="B180" s="500">
        <v>17680</v>
      </c>
      <c r="C180" s="503">
        <v>44561</v>
      </c>
      <c r="D180" s="500" t="s">
        <v>472</v>
      </c>
      <c r="E180" s="518">
        <v>0</v>
      </c>
      <c r="F180" s="518">
        <v>558.54</v>
      </c>
      <c r="G180" s="518">
        <v>0</v>
      </c>
      <c r="H180" s="518">
        <v>0</v>
      </c>
      <c r="I180" s="518">
        <v>0</v>
      </c>
      <c r="J180" s="518">
        <v>0</v>
      </c>
      <c r="K180" s="518">
        <v>0</v>
      </c>
      <c r="L180" s="527">
        <v>558.54</v>
      </c>
      <c r="M180" s="523" t="s">
        <v>594</v>
      </c>
      <c r="N180" s="511"/>
      <c r="O180" s="511"/>
      <c r="P180" s="511"/>
      <c r="Q180" s="511"/>
    </row>
    <row r="181" spans="1:17" ht="12.75">
      <c r="A181" s="511">
        <v>1326</v>
      </c>
      <c r="B181" s="500">
        <v>17681</v>
      </c>
      <c r="C181" s="503">
        <v>44561</v>
      </c>
      <c r="D181" s="500" t="s">
        <v>437</v>
      </c>
      <c r="E181" s="518">
        <v>0</v>
      </c>
      <c r="F181" s="518">
        <v>306.9</v>
      </c>
      <c r="G181" s="518">
        <v>600</v>
      </c>
      <c r="H181" s="518">
        <v>0</v>
      </c>
      <c r="I181" s="518">
        <v>41.4</v>
      </c>
      <c r="J181" s="518">
        <v>0</v>
      </c>
      <c r="K181" s="518">
        <v>0</v>
      </c>
      <c r="L181" s="527">
        <v>948.3</v>
      </c>
      <c r="M181" s="500" t="s">
        <v>595</v>
      </c>
      <c r="N181" s="511"/>
      <c r="O181" s="511"/>
      <c r="P181" s="511"/>
      <c r="Q181" s="511"/>
    </row>
    <row r="182" spans="1:17" ht="12.75">
      <c r="A182" s="511">
        <v>1327</v>
      </c>
      <c r="B182" s="500">
        <v>17682</v>
      </c>
      <c r="C182" s="503">
        <v>44561</v>
      </c>
      <c r="D182" s="500" t="s">
        <v>369</v>
      </c>
      <c r="E182" s="518">
        <v>0</v>
      </c>
      <c r="F182" s="518">
        <v>214.83</v>
      </c>
      <c r="G182" s="518">
        <v>1200</v>
      </c>
      <c r="H182" s="518">
        <v>255.2</v>
      </c>
      <c r="I182" s="518">
        <v>0</v>
      </c>
      <c r="J182" s="518">
        <v>0</v>
      </c>
      <c r="K182" s="518">
        <v>0</v>
      </c>
      <c r="L182" s="527">
        <v>1670.03</v>
      </c>
      <c r="M182" s="523" t="s">
        <v>596</v>
      </c>
      <c r="N182" s="511"/>
      <c r="O182" s="511"/>
      <c r="P182" s="511"/>
      <c r="Q182" s="511"/>
    </row>
    <row r="183" spans="1:17" ht="12.75">
      <c r="A183" s="511">
        <v>1328</v>
      </c>
      <c r="B183" s="500">
        <v>17683</v>
      </c>
      <c r="C183" s="503">
        <v>44561</v>
      </c>
      <c r="D183" s="500" t="s">
        <v>440</v>
      </c>
      <c r="E183" s="518">
        <v>0</v>
      </c>
      <c r="F183" s="518">
        <v>429.66</v>
      </c>
      <c r="G183" s="518">
        <v>1200</v>
      </c>
      <c r="H183" s="518">
        <v>0</v>
      </c>
      <c r="I183" s="518">
        <v>41.4</v>
      </c>
      <c r="J183" s="518">
        <v>0</v>
      </c>
      <c r="K183" s="518">
        <v>0</v>
      </c>
      <c r="L183" s="527">
        <v>1671.06</v>
      </c>
      <c r="M183" s="500" t="s">
        <v>597</v>
      </c>
      <c r="N183" s="511"/>
      <c r="O183" s="511"/>
      <c r="P183" s="511"/>
      <c r="Q183" s="511"/>
    </row>
    <row r="184" spans="1:17" ht="12.75">
      <c r="A184" s="553">
        <v>1329</v>
      </c>
      <c r="B184" s="545"/>
      <c r="C184" s="553"/>
      <c r="D184" s="545" t="s">
        <v>415</v>
      </c>
      <c r="E184" s="557"/>
      <c r="F184" s="557"/>
      <c r="G184" s="557"/>
      <c r="H184" s="557"/>
      <c r="I184" s="557"/>
      <c r="J184" s="557"/>
      <c r="K184" s="557"/>
      <c r="L184" s="564" t="s">
        <v>441</v>
      </c>
      <c r="M184" s="554" t="s">
        <v>372</v>
      </c>
      <c r="N184" s="511"/>
      <c r="O184" s="511"/>
      <c r="P184" s="511"/>
      <c r="Q184" s="511"/>
    </row>
    <row r="185" spans="1:17" ht="12.75">
      <c r="A185" s="511">
        <v>1330</v>
      </c>
      <c r="B185" s="500">
        <v>17684</v>
      </c>
      <c r="C185" s="503">
        <v>44561</v>
      </c>
      <c r="D185" s="500" t="s">
        <v>415</v>
      </c>
      <c r="E185" s="518">
        <v>0</v>
      </c>
      <c r="F185" s="518">
        <v>2805.46</v>
      </c>
      <c r="G185" s="518">
        <v>0</v>
      </c>
      <c r="H185" s="518">
        <v>0</v>
      </c>
      <c r="I185" s="518">
        <v>0</v>
      </c>
      <c r="J185" s="518">
        <v>0</v>
      </c>
      <c r="K185" s="518">
        <v>0</v>
      </c>
      <c r="L185" s="527">
        <v>2805.46</v>
      </c>
      <c r="M185" s="500" t="s">
        <v>598</v>
      </c>
      <c r="N185" s="511"/>
      <c r="O185" s="511"/>
      <c r="P185" s="511"/>
      <c r="Q185" s="511"/>
    </row>
    <row r="186" spans="1:17" ht="12.75">
      <c r="A186" s="511">
        <v>1331</v>
      </c>
      <c r="B186" s="500">
        <v>17685</v>
      </c>
      <c r="C186" s="503">
        <v>44561</v>
      </c>
      <c r="D186" s="500" t="s">
        <v>440</v>
      </c>
      <c r="E186" s="518">
        <v>0</v>
      </c>
      <c r="F186" s="518">
        <v>403.47</v>
      </c>
      <c r="G186" s="518">
        <v>600</v>
      </c>
      <c r="H186" s="518">
        <v>0</v>
      </c>
      <c r="I186" s="518">
        <v>0</v>
      </c>
      <c r="J186" s="518">
        <v>0</v>
      </c>
      <c r="K186" s="518">
        <v>0</v>
      </c>
      <c r="L186" s="527">
        <v>1003.47</v>
      </c>
      <c r="M186" s="500" t="s">
        <v>599</v>
      </c>
      <c r="N186" s="511"/>
      <c r="O186" s="511"/>
      <c r="P186" s="511"/>
      <c r="Q186" s="511"/>
    </row>
    <row r="187" spans="1:17" ht="12.75">
      <c r="A187" s="511">
        <v>1332</v>
      </c>
      <c r="B187" s="500">
        <v>17686</v>
      </c>
      <c r="C187" s="503">
        <v>44561</v>
      </c>
      <c r="D187" s="500" t="s">
        <v>379</v>
      </c>
      <c r="E187" s="518">
        <v>0</v>
      </c>
      <c r="F187" s="518">
        <v>0</v>
      </c>
      <c r="G187" s="518">
        <v>5172.58</v>
      </c>
      <c r="H187" s="518">
        <v>0</v>
      </c>
      <c r="I187" s="518">
        <v>0</v>
      </c>
      <c r="J187" s="518">
        <v>0</v>
      </c>
      <c r="K187" s="518">
        <v>0</v>
      </c>
      <c r="L187" s="527">
        <v>5172.58</v>
      </c>
      <c r="M187" s="523" t="s">
        <v>598</v>
      </c>
      <c r="N187" s="511"/>
      <c r="O187" s="511"/>
      <c r="P187" s="511"/>
      <c r="Q187" s="511"/>
    </row>
    <row r="188" spans="1:17" ht="12.75">
      <c r="A188" s="511">
        <v>1333</v>
      </c>
      <c r="B188" s="500">
        <v>17687</v>
      </c>
      <c r="C188" s="503">
        <v>44561</v>
      </c>
      <c r="D188" s="500" t="s">
        <v>374</v>
      </c>
      <c r="E188" s="518">
        <v>8242.15</v>
      </c>
      <c r="F188" s="518">
        <v>0</v>
      </c>
      <c r="G188" s="518">
        <v>0</v>
      </c>
      <c r="H188" s="518">
        <v>0</v>
      </c>
      <c r="I188" s="518">
        <v>0</v>
      </c>
      <c r="J188" s="518">
        <v>0</v>
      </c>
      <c r="K188" s="518">
        <v>0</v>
      </c>
      <c r="L188" s="527">
        <v>8242.15</v>
      </c>
      <c r="M188" s="500" t="s">
        <v>600</v>
      </c>
      <c r="N188" s="511"/>
      <c r="O188" s="511"/>
      <c r="P188" s="511"/>
      <c r="Q188" s="511"/>
    </row>
    <row r="189" spans="1:17" ht="12.75">
      <c r="A189" s="511">
        <v>1334</v>
      </c>
      <c r="B189" s="500">
        <v>17688</v>
      </c>
      <c r="C189" s="503">
        <v>44561</v>
      </c>
      <c r="D189" s="500" t="s">
        <v>371</v>
      </c>
      <c r="E189" s="518">
        <v>2190.95</v>
      </c>
      <c r="F189" s="518">
        <v>0</v>
      </c>
      <c r="G189" s="518">
        <v>0</v>
      </c>
      <c r="H189" s="518">
        <v>0</v>
      </c>
      <c r="I189" s="518">
        <v>0</v>
      </c>
      <c r="J189" s="518">
        <v>0</v>
      </c>
      <c r="K189" s="518">
        <v>0</v>
      </c>
      <c r="L189" s="527">
        <v>2190.95</v>
      </c>
      <c r="M189" s="500" t="s">
        <v>600</v>
      </c>
      <c r="N189" s="511"/>
      <c r="O189" s="511"/>
      <c r="P189" s="511"/>
      <c r="Q189" s="511"/>
    </row>
    <row r="190" spans="1:17" ht="12.75">
      <c r="A190" s="511">
        <v>1335</v>
      </c>
      <c r="B190" s="500">
        <v>17689</v>
      </c>
      <c r="C190" s="503">
        <v>44561</v>
      </c>
      <c r="D190" s="500" t="s">
        <v>371</v>
      </c>
      <c r="E190" s="518">
        <v>0</v>
      </c>
      <c r="F190" s="518">
        <v>51939.25</v>
      </c>
      <c r="G190" s="518">
        <v>0</v>
      </c>
      <c r="H190" s="518">
        <v>0</v>
      </c>
      <c r="I190" s="518">
        <v>0</v>
      </c>
      <c r="J190" s="518">
        <v>0</v>
      </c>
      <c r="K190" s="518">
        <v>0</v>
      </c>
      <c r="L190" s="527">
        <v>51939.25</v>
      </c>
      <c r="M190" s="500" t="s">
        <v>600</v>
      </c>
      <c r="N190" s="511"/>
      <c r="O190" s="511"/>
      <c r="P190" s="511"/>
      <c r="Q190" s="511"/>
    </row>
    <row r="191" spans="1:17" ht="12.75">
      <c r="A191" s="511">
        <v>1336</v>
      </c>
      <c r="B191" s="500">
        <v>17690</v>
      </c>
      <c r="C191" s="503">
        <v>44561</v>
      </c>
      <c r="D191" s="500" t="s">
        <v>374</v>
      </c>
      <c r="E191" s="518">
        <v>0</v>
      </c>
      <c r="F191" s="518">
        <v>0</v>
      </c>
      <c r="G191" s="518">
        <v>70475.28</v>
      </c>
      <c r="H191" s="518">
        <v>0</v>
      </c>
      <c r="I191" s="518">
        <v>0</v>
      </c>
      <c r="J191" s="518">
        <v>0</v>
      </c>
      <c r="K191" s="518">
        <v>0</v>
      </c>
      <c r="L191" s="527">
        <v>70475.28</v>
      </c>
      <c r="M191" s="500" t="s">
        <v>600</v>
      </c>
      <c r="N191" s="511"/>
      <c r="O191" s="511"/>
      <c r="P191" s="511"/>
      <c r="Q191" s="511"/>
    </row>
    <row r="192" spans="1:17" ht="12.75">
      <c r="A192" s="511">
        <v>1337</v>
      </c>
      <c r="B192" s="500">
        <v>17691</v>
      </c>
      <c r="C192" s="503">
        <v>44561</v>
      </c>
      <c r="D192" s="500" t="s">
        <v>374</v>
      </c>
      <c r="E192" s="518">
        <v>0</v>
      </c>
      <c r="F192" s="518">
        <v>0</v>
      </c>
      <c r="G192" s="518">
        <v>0</v>
      </c>
      <c r="H192" s="518">
        <v>43374.6</v>
      </c>
      <c r="I192" s="518">
        <v>0</v>
      </c>
      <c r="J192" s="518">
        <v>0</v>
      </c>
      <c r="K192" s="518">
        <v>0</v>
      </c>
      <c r="L192" s="527">
        <v>43374.6</v>
      </c>
      <c r="M192" s="500" t="s">
        <v>600</v>
      </c>
      <c r="N192" s="511"/>
      <c r="O192" s="511"/>
      <c r="P192" s="511"/>
      <c r="Q192" s="511"/>
    </row>
    <row r="193" spans="1:17" ht="12.75">
      <c r="A193" s="511">
        <v>1338</v>
      </c>
      <c r="B193" s="500">
        <v>17692</v>
      </c>
      <c r="C193" s="503">
        <v>44561</v>
      </c>
      <c r="D193" s="500" t="s">
        <v>371</v>
      </c>
      <c r="E193" s="518">
        <v>0</v>
      </c>
      <c r="F193" s="518">
        <v>0</v>
      </c>
      <c r="G193" s="518">
        <v>1500</v>
      </c>
      <c r="H193" s="518">
        <v>0</v>
      </c>
      <c r="I193" s="518">
        <v>0</v>
      </c>
      <c r="J193" s="518">
        <v>0</v>
      </c>
      <c r="K193" s="518">
        <v>0</v>
      </c>
      <c r="L193" s="527">
        <v>1500</v>
      </c>
      <c r="M193" s="500" t="s">
        <v>601</v>
      </c>
      <c r="N193" s="511"/>
      <c r="O193" s="511"/>
      <c r="P193" s="511"/>
      <c r="Q193" s="511"/>
    </row>
    <row r="194" spans="1:17" ht="12.75">
      <c r="A194" s="511">
        <v>1339</v>
      </c>
      <c r="B194" s="500">
        <v>17693</v>
      </c>
      <c r="C194" s="503">
        <v>44561</v>
      </c>
      <c r="D194" s="500" t="s">
        <v>480</v>
      </c>
      <c r="E194" s="518">
        <v>1373.66</v>
      </c>
      <c r="F194" s="518">
        <v>0</v>
      </c>
      <c r="G194" s="518">
        <v>1800</v>
      </c>
      <c r="H194" s="518">
        <v>0</v>
      </c>
      <c r="I194" s="518">
        <v>0</v>
      </c>
      <c r="J194" s="518">
        <v>0</v>
      </c>
      <c r="K194" s="518">
        <v>0</v>
      </c>
      <c r="L194" s="527">
        <v>3173.66</v>
      </c>
      <c r="M194" s="500" t="s">
        <v>473</v>
      </c>
      <c r="N194" s="511"/>
      <c r="O194" s="511"/>
      <c r="P194" s="511"/>
      <c r="Q194" s="511"/>
    </row>
    <row r="195" spans="5:12" ht="12.75">
      <c r="E195" s="551"/>
      <c r="F195" s="551"/>
      <c r="G195" s="551"/>
      <c r="H195" s="551"/>
      <c r="I195" s="551"/>
      <c r="J195" s="551"/>
      <c r="K195" s="551"/>
      <c r="L195" s="512" t="s">
        <v>441</v>
      </c>
    </row>
    <row r="196" spans="4:13" ht="12.75">
      <c r="D196" s="511"/>
      <c r="E196" s="511"/>
      <c r="F196" s="511"/>
      <c r="G196" s="511"/>
      <c r="H196" s="511"/>
      <c r="I196" s="511"/>
      <c r="J196" s="511"/>
      <c r="K196" s="511"/>
      <c r="L196" s="511"/>
      <c r="M196" s="511"/>
    </row>
    <row r="197" spans="1:13" ht="12.75">
      <c r="A197" s="633" t="s">
        <v>602</v>
      </c>
      <c r="B197" s="633"/>
      <c r="C197" s="633"/>
      <c r="D197" s="633"/>
      <c r="E197" s="565">
        <v>1312380.24</v>
      </c>
      <c r="F197" s="565">
        <v>282261.31</v>
      </c>
      <c r="G197" s="565">
        <v>482325.82</v>
      </c>
      <c r="H197" s="565">
        <v>204067.45</v>
      </c>
      <c r="I197" s="565">
        <v>5953.36</v>
      </c>
      <c r="J197" s="565">
        <v>22500</v>
      </c>
      <c r="K197" s="565">
        <v>19029.16</v>
      </c>
      <c r="L197" s="565">
        <v>2328517.34</v>
      </c>
      <c r="M197" s="511"/>
    </row>
    <row r="198" spans="4:13" ht="12.75">
      <c r="D198" s="511"/>
      <c r="E198" s="511"/>
      <c r="F198" s="511"/>
      <c r="G198" s="511"/>
      <c r="H198" s="511"/>
      <c r="I198" s="511"/>
      <c r="J198" s="511"/>
      <c r="K198" s="511"/>
      <c r="L198" s="511"/>
      <c r="M198" s="511"/>
    </row>
    <row r="199" spans="4:13" ht="12.75">
      <c r="D199" s="511"/>
      <c r="E199" s="511"/>
      <c r="F199" s="511"/>
      <c r="G199" s="511"/>
      <c r="H199" s="511"/>
      <c r="I199" s="511"/>
      <c r="J199" s="511"/>
      <c r="K199" s="511"/>
      <c r="L199" s="511"/>
      <c r="M199" s="511"/>
    </row>
    <row r="200" spans="4:13" ht="12.75">
      <c r="D200" s="511"/>
      <c r="E200" s="511"/>
      <c r="F200" s="511"/>
      <c r="G200" s="511"/>
      <c r="H200" s="511"/>
      <c r="I200" s="511"/>
      <c r="J200" s="511"/>
      <c r="K200" s="511"/>
      <c r="L200" s="511"/>
      <c r="M200" s="510" t="s">
        <v>417</v>
      </c>
    </row>
    <row r="201" spans="4:13" ht="12.75">
      <c r="D201" s="511"/>
      <c r="E201" s="552" t="s">
        <v>363</v>
      </c>
      <c r="F201" s="552" t="s">
        <v>364</v>
      </c>
      <c r="G201" s="552" t="s">
        <v>365</v>
      </c>
      <c r="H201" s="552" t="s">
        <v>366</v>
      </c>
      <c r="I201" s="552" t="s">
        <v>400</v>
      </c>
      <c r="J201" s="552" t="s">
        <v>401</v>
      </c>
      <c r="K201" s="552" t="s">
        <v>405</v>
      </c>
      <c r="L201" s="552"/>
      <c r="M201" s="511"/>
    </row>
    <row r="202" spans="4:13" ht="12.75">
      <c r="D202" s="566" t="s">
        <v>385</v>
      </c>
      <c r="E202" s="567">
        <v>5723.66</v>
      </c>
      <c r="F202" s="567">
        <v>67771.43</v>
      </c>
      <c r="G202" s="567">
        <v>89414.49</v>
      </c>
      <c r="H202" s="567">
        <v>11771.6</v>
      </c>
      <c r="I202" s="566">
        <v>455.4</v>
      </c>
      <c r="J202" s="566">
        <v>0</v>
      </c>
      <c r="K202" s="566">
        <v>0</v>
      </c>
      <c r="L202" s="567">
        <v>175136.58</v>
      </c>
      <c r="M202" s="568">
        <v>0.08</v>
      </c>
    </row>
    <row r="203" spans="4:13" ht="12.75">
      <c r="D203" s="511"/>
      <c r="E203" s="511"/>
      <c r="F203" s="511"/>
      <c r="G203" s="511"/>
      <c r="H203" s="511"/>
      <c r="I203" s="511"/>
      <c r="J203" s="511"/>
      <c r="K203" s="511"/>
      <c r="L203" s="511"/>
      <c r="M203" s="511"/>
    </row>
    <row r="204" spans="4:13" ht="12.75">
      <c r="D204" s="530" t="s">
        <v>483</v>
      </c>
      <c r="E204" s="531">
        <v>6525</v>
      </c>
      <c r="F204" s="531">
        <v>7038.24</v>
      </c>
      <c r="G204" s="530">
        <v>600</v>
      </c>
      <c r="H204" s="530">
        <v>0</v>
      </c>
      <c r="I204" s="530">
        <v>0</v>
      </c>
      <c r="J204" s="530">
        <v>0</v>
      </c>
      <c r="K204" s="530">
        <v>0</v>
      </c>
      <c r="L204" s="531">
        <v>14163.24</v>
      </c>
      <c r="M204" s="532">
        <v>0.01</v>
      </c>
    </row>
    <row r="205" spans="4:13" ht="12.75">
      <c r="D205" s="511"/>
      <c r="E205" s="511"/>
      <c r="F205" s="511"/>
      <c r="G205" s="511"/>
      <c r="H205" s="511"/>
      <c r="I205" s="511"/>
      <c r="J205" s="511"/>
      <c r="K205" s="511"/>
      <c r="L205" s="511"/>
      <c r="M205" s="511"/>
    </row>
    <row r="206" spans="4:13" ht="12.75">
      <c r="D206" s="569" t="s">
        <v>386</v>
      </c>
      <c r="E206" s="528">
        <v>1178688.49</v>
      </c>
      <c r="F206" s="569">
        <v>0</v>
      </c>
      <c r="G206" s="569">
        <v>0</v>
      </c>
      <c r="H206" s="569">
        <v>0</v>
      </c>
      <c r="I206" s="569">
        <v>0</v>
      </c>
      <c r="J206" s="569">
        <v>0</v>
      </c>
      <c r="K206" s="569">
        <v>0</v>
      </c>
      <c r="L206" s="528">
        <v>1178688.49</v>
      </c>
      <c r="M206" s="529">
        <v>0.51</v>
      </c>
    </row>
    <row r="207" spans="4:13" ht="12.75">
      <c r="D207" s="511"/>
      <c r="E207" s="511"/>
      <c r="F207" s="511"/>
      <c r="G207" s="511"/>
      <c r="H207" s="511"/>
      <c r="I207" s="511"/>
      <c r="J207" s="511"/>
      <c r="K207" s="511"/>
      <c r="L207" s="511"/>
      <c r="M207" s="511"/>
    </row>
    <row r="208" spans="4:13" ht="12.75">
      <c r="D208" s="570" t="s">
        <v>387</v>
      </c>
      <c r="E208" s="570">
        <v>0</v>
      </c>
      <c r="F208" s="570">
        <v>0</v>
      </c>
      <c r="G208" s="570">
        <v>0</v>
      </c>
      <c r="H208" s="570">
        <v>0</v>
      </c>
      <c r="I208" s="570">
        <v>0</v>
      </c>
      <c r="J208" s="570">
        <v>0</v>
      </c>
      <c r="K208" s="571">
        <v>19029.16</v>
      </c>
      <c r="L208" s="571">
        <v>19029.16</v>
      </c>
      <c r="M208" s="572">
        <v>0.01</v>
      </c>
    </row>
    <row r="209" spans="4:13" ht="12.75">
      <c r="D209" s="511"/>
      <c r="E209" s="511"/>
      <c r="F209" s="511"/>
      <c r="G209" s="511"/>
      <c r="H209" s="511"/>
      <c r="I209" s="511"/>
      <c r="J209" s="511"/>
      <c r="K209" s="511"/>
      <c r="L209" s="511"/>
      <c r="M209" s="511"/>
    </row>
    <row r="210" spans="4:13" ht="12.75">
      <c r="D210" s="573" t="s">
        <v>484</v>
      </c>
      <c r="E210" s="573">
        <v>0</v>
      </c>
      <c r="F210" s="573">
        <v>0</v>
      </c>
      <c r="G210" s="573">
        <v>0</v>
      </c>
      <c r="H210" s="573">
        <v>0</v>
      </c>
      <c r="I210" s="573">
        <v>0</v>
      </c>
      <c r="J210" s="574">
        <v>22500</v>
      </c>
      <c r="K210" s="573">
        <v>0</v>
      </c>
      <c r="L210" s="574">
        <v>22500</v>
      </c>
      <c r="M210" s="575">
        <v>0.01</v>
      </c>
    </row>
    <row r="211" spans="4:13" ht="12.75">
      <c r="D211" s="511"/>
      <c r="E211" s="511"/>
      <c r="F211" s="511"/>
      <c r="G211" s="511"/>
      <c r="H211" s="511"/>
      <c r="I211" s="511"/>
      <c r="J211" s="511"/>
      <c r="K211" s="511"/>
      <c r="L211" s="511"/>
      <c r="M211" s="511"/>
    </row>
    <row r="212" spans="4:13" ht="12.75">
      <c r="D212" s="576" t="s">
        <v>388</v>
      </c>
      <c r="E212" s="577">
        <v>64970.7</v>
      </c>
      <c r="F212" s="577">
        <v>207451.64</v>
      </c>
      <c r="G212" s="577">
        <v>392311.33</v>
      </c>
      <c r="H212" s="577">
        <v>192295.85</v>
      </c>
      <c r="I212" s="577">
        <v>5497.96</v>
      </c>
      <c r="J212" s="576">
        <v>0</v>
      </c>
      <c r="K212" s="576">
        <v>0</v>
      </c>
      <c r="L212" s="577">
        <v>862527.48</v>
      </c>
      <c r="M212" s="578">
        <v>0.37</v>
      </c>
    </row>
    <row r="213" spans="4:13" ht="12.75">
      <c r="D213" s="511"/>
      <c r="E213" s="511"/>
      <c r="F213" s="511"/>
      <c r="G213" s="511"/>
      <c r="H213" s="511"/>
      <c r="I213" s="511"/>
      <c r="J213" s="511"/>
      <c r="K213" s="511"/>
      <c r="L213" s="511"/>
      <c r="M213" s="511"/>
    </row>
    <row r="214" spans="4:13" ht="12.75">
      <c r="D214" s="579" t="s">
        <v>389</v>
      </c>
      <c r="E214" s="580">
        <v>56472.39</v>
      </c>
      <c r="F214" s="579">
        <v>0</v>
      </c>
      <c r="G214" s="579">
        <v>0</v>
      </c>
      <c r="H214" s="579">
        <v>0</v>
      </c>
      <c r="I214" s="579">
        <v>0</v>
      </c>
      <c r="J214" s="579">
        <v>0</v>
      </c>
      <c r="K214" s="579">
        <v>0</v>
      </c>
      <c r="L214" s="580">
        <v>56472.39</v>
      </c>
      <c r="M214" s="581">
        <v>0.02</v>
      </c>
    </row>
    <row r="215" spans="4:13" ht="12.75">
      <c r="D215" s="555" t="s">
        <v>251</v>
      </c>
      <c r="E215" s="565">
        <v>1312380.24</v>
      </c>
      <c r="F215" s="565">
        <v>282261.31</v>
      </c>
      <c r="G215" s="565">
        <v>482325.82</v>
      </c>
      <c r="H215" s="565">
        <v>204067.45</v>
      </c>
      <c r="I215" s="565">
        <v>5953.36</v>
      </c>
      <c r="J215" s="565">
        <v>22500</v>
      </c>
      <c r="K215" s="565">
        <v>19029.16</v>
      </c>
      <c r="L215" s="565">
        <v>2328517.34</v>
      </c>
      <c r="M215" s="522">
        <v>1</v>
      </c>
    </row>
    <row r="216" spans="4:13" ht="12.75">
      <c r="D216" s="511"/>
      <c r="E216" s="511"/>
      <c r="F216" s="511"/>
      <c r="G216" s="511"/>
      <c r="H216" s="511"/>
      <c r="I216" s="511"/>
      <c r="J216" s="511"/>
      <c r="K216" s="511"/>
      <c r="L216" s="511"/>
      <c r="M216" s="511"/>
    </row>
    <row r="217" spans="4:13" ht="12.75">
      <c r="D217" s="511"/>
      <c r="E217" s="511"/>
      <c r="F217" s="511"/>
      <c r="G217" s="511" t="s">
        <v>12</v>
      </c>
      <c r="H217" s="511" t="s">
        <v>12</v>
      </c>
      <c r="I217" s="511" t="s">
        <v>12</v>
      </c>
      <c r="J217" s="511" t="s">
        <v>12</v>
      </c>
      <c r="K217" s="511" t="s">
        <v>12</v>
      </c>
      <c r="L217" s="511" t="s">
        <v>485</v>
      </c>
      <c r="M217" s="511"/>
    </row>
    <row r="218" spans="4:13" ht="12.75">
      <c r="D218" s="511"/>
      <c r="E218" s="511"/>
      <c r="F218" s="511"/>
      <c r="G218" s="511"/>
      <c r="H218" s="511"/>
      <c r="I218" s="511"/>
      <c r="J218" s="511"/>
      <c r="K218" s="511"/>
      <c r="L218" s="511"/>
      <c r="M218" s="511"/>
    </row>
    <row r="219" spans="4:13" ht="12.75">
      <c r="D219" s="511"/>
      <c r="E219" s="511"/>
      <c r="F219" s="511"/>
      <c r="G219" s="511"/>
      <c r="H219" s="511"/>
      <c r="I219" s="511"/>
      <c r="J219" s="511"/>
      <c r="K219" s="511"/>
      <c r="L219" s="511" t="s">
        <v>441</v>
      </c>
      <c r="M219" s="511"/>
    </row>
    <row r="220" spans="4:13" ht="12.75">
      <c r="D220" s="511"/>
      <c r="E220" s="511"/>
      <c r="F220" s="511"/>
      <c r="G220" s="511"/>
      <c r="H220" s="511"/>
      <c r="I220" s="511"/>
      <c r="J220" s="511"/>
      <c r="K220" s="511"/>
      <c r="L220" s="511"/>
      <c r="M220" s="511"/>
    </row>
    <row r="221" spans="4:13" ht="12.75">
      <c r="D221" s="511"/>
      <c r="E221" s="511"/>
      <c r="F221" s="511"/>
      <c r="G221" s="511"/>
      <c r="H221" s="511"/>
      <c r="I221" s="511"/>
      <c r="J221" s="511"/>
      <c r="K221" s="511"/>
      <c r="L221" s="511"/>
      <c r="M221" s="511"/>
    </row>
  </sheetData>
  <sheetProtection/>
  <mergeCells count="9">
    <mergeCell ref="A197:D197"/>
    <mergeCell ref="A1:M1"/>
    <mergeCell ref="E4:K4"/>
    <mergeCell ref="D4:D5"/>
    <mergeCell ref="C4:C5"/>
    <mergeCell ref="B4:B5"/>
    <mergeCell ref="A4:A5"/>
    <mergeCell ref="L4:L5"/>
    <mergeCell ref="M4:M5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65" r:id="rId1"/>
  <rowBreaks count="1" manualBreakCount="1">
    <brk id="46" max="255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6:L42"/>
  <sheetViews>
    <sheetView showGridLines="0" zoomScale="75" zoomScaleNormal="75" zoomScalePageLayoutView="0" workbookViewId="0" topLeftCell="A1">
      <selection activeCell="D10" sqref="D10:E10"/>
    </sheetView>
  </sheetViews>
  <sheetFormatPr defaultColWidth="9.140625" defaultRowHeight="12.75"/>
  <cols>
    <col min="1" max="1" width="31.57421875" style="0" bestFit="1" customWidth="1"/>
    <col min="2" max="2" width="26.28125" style="0" customWidth="1"/>
    <col min="3" max="3" width="5.57421875" style="0" bestFit="1" customWidth="1"/>
    <col min="4" max="4" width="32.7109375" style="0" customWidth="1"/>
    <col min="5" max="5" width="32.140625" style="0" bestFit="1" customWidth="1"/>
    <col min="6" max="6" width="18.00390625" style="0" bestFit="1" customWidth="1"/>
    <col min="7" max="7" width="16.8515625" style="0" bestFit="1" customWidth="1"/>
    <col min="10" max="10" width="9.28125" style="0" bestFit="1" customWidth="1"/>
    <col min="11" max="11" width="10.00390625" style="0" bestFit="1" customWidth="1"/>
    <col min="12" max="12" width="11.00390625" style="0" bestFit="1" customWidth="1"/>
  </cols>
  <sheetData>
    <row r="6" spans="1:7" ht="15">
      <c r="A6" s="667" t="s">
        <v>125</v>
      </c>
      <c r="B6" s="667"/>
      <c r="C6" s="667"/>
      <c r="D6" s="667"/>
      <c r="E6" s="667"/>
      <c r="F6" s="667"/>
      <c r="G6" s="667"/>
    </row>
    <row r="7" spans="1:7" ht="15">
      <c r="A7" s="668" t="s">
        <v>132</v>
      </c>
      <c r="B7" s="668"/>
      <c r="C7" s="668"/>
      <c r="D7" s="668"/>
      <c r="E7" s="668"/>
      <c r="F7" s="668"/>
      <c r="G7" s="668"/>
    </row>
    <row r="8" spans="4:5" ht="16.5" thickBot="1">
      <c r="D8" s="660"/>
      <c r="E8" s="660"/>
    </row>
    <row r="9" spans="1:7" ht="21.75" thickBot="1">
      <c r="A9" s="673" t="s">
        <v>296</v>
      </c>
      <c r="B9" s="674"/>
      <c r="C9" s="153"/>
      <c r="D9" s="673" t="s">
        <v>621</v>
      </c>
      <c r="E9" s="675"/>
      <c r="F9" s="666" t="s">
        <v>83</v>
      </c>
      <c r="G9" s="666"/>
    </row>
    <row r="10" spans="1:5" ht="18.75">
      <c r="A10" s="652" t="s">
        <v>150</v>
      </c>
      <c r="B10" s="652"/>
      <c r="C10" s="153"/>
      <c r="D10" s="652" t="s">
        <v>150</v>
      </c>
      <c r="E10" s="652"/>
    </row>
    <row r="11" spans="1:7" ht="18.75">
      <c r="A11" s="162" t="s">
        <v>131</v>
      </c>
      <c r="B11" s="230">
        <v>8002144.39</v>
      </c>
      <c r="D11" s="162" t="s">
        <v>131</v>
      </c>
      <c r="E11" s="350">
        <f>receitas!N11</f>
        <v>10752218.709999999</v>
      </c>
      <c r="F11" s="669"/>
      <c r="G11" s="670"/>
    </row>
    <row r="12" spans="1:7" ht="18.75">
      <c r="A12" s="162" t="s">
        <v>130</v>
      </c>
      <c r="B12" s="177">
        <v>2436820.69</v>
      </c>
      <c r="D12" s="162" t="s">
        <v>130</v>
      </c>
      <c r="E12" s="351">
        <f>receitas!N15</f>
        <v>2613293.75</v>
      </c>
      <c r="F12" s="669"/>
      <c r="G12" s="670"/>
    </row>
    <row r="13" spans="1:7" ht="18.75">
      <c r="A13" s="162" t="s">
        <v>129</v>
      </c>
      <c r="B13" s="177">
        <v>5803190.67</v>
      </c>
      <c r="D13" s="162" t="s">
        <v>129</v>
      </c>
      <c r="E13" s="351">
        <f>receitas!N17</f>
        <v>5107262.2</v>
      </c>
      <c r="F13" s="669"/>
      <c r="G13" s="670"/>
    </row>
    <row r="14" spans="1:7" ht="18.75">
      <c r="A14" s="162" t="s">
        <v>128</v>
      </c>
      <c r="B14" s="178">
        <v>5984173.12</v>
      </c>
      <c r="D14" s="162" t="s">
        <v>424</v>
      </c>
      <c r="E14" s="352">
        <f>receitas!N19</f>
        <v>3119439.889999999</v>
      </c>
      <c r="F14" s="671"/>
      <c r="G14" s="672"/>
    </row>
    <row r="15" spans="1:7" ht="18.75">
      <c r="A15" s="162" t="s">
        <v>166</v>
      </c>
      <c r="B15" s="177">
        <v>379613.06</v>
      </c>
      <c r="D15" s="162" t="s">
        <v>421</v>
      </c>
      <c r="E15" s="351">
        <f>receitas!N21+receitas!N33-E18</f>
        <v>347903.17000000004</v>
      </c>
      <c r="F15" s="656"/>
      <c r="G15" s="657"/>
    </row>
    <row r="16" spans="1:7" ht="18.75">
      <c r="A16" s="162"/>
      <c r="B16" s="177"/>
      <c r="D16" s="162" t="s">
        <v>422</v>
      </c>
      <c r="E16" s="351">
        <f>receitas!N24</f>
        <v>0</v>
      </c>
      <c r="F16" s="469"/>
      <c r="G16" s="470"/>
    </row>
    <row r="17" spans="1:7" ht="18.75">
      <c r="A17" s="162"/>
      <c r="B17" s="177"/>
      <c r="D17" s="162" t="s">
        <v>423</v>
      </c>
      <c r="E17" s="351">
        <f>receitas!N26</f>
        <v>139472.11</v>
      </c>
      <c r="F17" s="469"/>
      <c r="G17" s="470"/>
    </row>
    <row r="18" spans="1:7" ht="18.75">
      <c r="A18" s="162" t="s">
        <v>127</v>
      </c>
      <c r="B18" s="178">
        <v>10632.87</v>
      </c>
      <c r="D18" s="162" t="s">
        <v>127</v>
      </c>
      <c r="E18" s="352">
        <f>receitas!N39</f>
        <v>8462.050000000001</v>
      </c>
      <c r="F18" s="658"/>
      <c r="G18" s="659"/>
    </row>
    <row r="19" spans="1:7" ht="18.75">
      <c r="A19" s="162" t="s">
        <v>471</v>
      </c>
      <c r="B19" s="178"/>
      <c r="D19" s="162" t="s">
        <v>471</v>
      </c>
      <c r="E19" s="352">
        <f>receitas!N30</f>
        <v>225000</v>
      </c>
      <c r="F19" s="656"/>
      <c r="G19" s="657"/>
    </row>
    <row r="20" spans="1:10" ht="18.75">
      <c r="A20" s="162" t="s">
        <v>126</v>
      </c>
      <c r="B20" s="177">
        <v>0</v>
      </c>
      <c r="D20" s="162" t="s">
        <v>126</v>
      </c>
      <c r="E20" s="351">
        <v>0</v>
      </c>
      <c r="F20" s="656"/>
      <c r="G20" s="657"/>
      <c r="J20" s="283" t="s">
        <v>12</v>
      </c>
    </row>
    <row r="21" spans="1:7" ht="18.75">
      <c r="A21" s="176" t="s">
        <v>108</v>
      </c>
      <c r="B21" s="175">
        <f>SUM(B11:B20)</f>
        <v>22616574.8</v>
      </c>
      <c r="D21" s="176" t="s">
        <v>108</v>
      </c>
      <c r="E21" s="175">
        <f>SUM(E11:E20)</f>
        <v>22313051.880000003</v>
      </c>
      <c r="F21" s="664" t="s">
        <v>314</v>
      </c>
      <c r="G21" s="665"/>
    </row>
    <row r="22" spans="1:12" ht="18.75">
      <c r="A22" s="174" t="s">
        <v>107</v>
      </c>
      <c r="B22" s="173">
        <f>B21/12</f>
        <v>1884714.5666666667</v>
      </c>
      <c r="D22" s="174" t="s">
        <v>107</v>
      </c>
      <c r="E22" s="173">
        <f>E21/12</f>
        <v>1859420.9900000002</v>
      </c>
      <c r="F22" s="454">
        <f>E22/B22-1</f>
        <v>-0.013420375219681646</v>
      </c>
      <c r="G22" s="307"/>
      <c r="L22" s="147"/>
    </row>
    <row r="23" spans="1:5" ht="18.75">
      <c r="A23" s="654"/>
      <c r="B23" s="654"/>
      <c r="C23" s="172"/>
      <c r="D23" s="655"/>
      <c r="E23" s="654"/>
    </row>
    <row r="24" spans="1:11" ht="18.75">
      <c r="A24" s="171"/>
      <c r="B24" s="170"/>
      <c r="C24" s="172"/>
      <c r="D24" s="171"/>
      <c r="E24" s="170"/>
      <c r="K24" s="283"/>
    </row>
    <row r="25" ht="13.5" thickBot="1"/>
    <row r="26" spans="1:7" ht="15.75" thickBot="1">
      <c r="A26" s="661" t="s">
        <v>106</v>
      </c>
      <c r="B26" s="662"/>
      <c r="C26" s="662"/>
      <c r="D26" s="662"/>
      <c r="E26" s="662"/>
      <c r="F26" s="662"/>
      <c r="G26" s="663"/>
    </row>
    <row r="27" ht="13.5" thickBot="1"/>
    <row r="28" spans="1:7" ht="16.5" thickBot="1">
      <c r="A28" s="647" t="s">
        <v>486</v>
      </c>
      <c r="B28" s="648"/>
      <c r="C28" s="153"/>
      <c r="D28" s="647" t="s">
        <v>603</v>
      </c>
      <c r="E28" s="648"/>
      <c r="G28" s="168" t="s">
        <v>105</v>
      </c>
    </row>
    <row r="29" spans="1:12" ht="18.75">
      <c r="A29" s="643">
        <v>1989487.29</v>
      </c>
      <c r="B29" s="644"/>
      <c r="C29" s="151"/>
      <c r="D29" s="643">
        <f>receitas!M42</f>
        <v>2363207.85</v>
      </c>
      <c r="E29" s="644"/>
      <c r="F29" s="265"/>
      <c r="G29" s="220">
        <f>D29/A29-1</f>
        <v>0.18784767406078773</v>
      </c>
      <c r="I29" s="253" t="s">
        <v>12</v>
      </c>
      <c r="L29" s="147"/>
    </row>
    <row r="30" spans="7:12" ht="13.5" thickBot="1">
      <c r="G30" s="169"/>
      <c r="L30" s="147"/>
    </row>
    <row r="31" spans="1:7" ht="16.5" thickBot="1">
      <c r="A31" s="645" t="s">
        <v>604</v>
      </c>
      <c r="B31" s="646"/>
      <c r="C31" s="153"/>
      <c r="D31" s="647" t="s">
        <v>603</v>
      </c>
      <c r="E31" s="648"/>
      <c r="F31" s="167"/>
      <c r="G31" s="168" t="s">
        <v>105</v>
      </c>
    </row>
    <row r="32" spans="1:11" ht="23.25">
      <c r="A32" s="643">
        <v>1809999.25</v>
      </c>
      <c r="B32" s="644"/>
      <c r="C32" s="151"/>
      <c r="D32" s="643">
        <f>D29</f>
        <v>2363207.85</v>
      </c>
      <c r="E32" s="644"/>
      <c r="F32" s="263"/>
      <c r="G32" s="202">
        <f>D32/A32-1</f>
        <v>0.3056402371437448</v>
      </c>
      <c r="H32" s="200"/>
      <c r="J32" s="253" t="s">
        <v>12</v>
      </c>
      <c r="K32" s="253" t="s">
        <v>12</v>
      </c>
    </row>
    <row r="33" spans="4:7" ht="13.5" thickBot="1">
      <c r="D33" s="165"/>
      <c r="F33" s="167"/>
      <c r="G33" s="166"/>
    </row>
    <row r="34" spans="1:6" ht="20.25" customHeight="1">
      <c r="A34" s="645" t="s">
        <v>605</v>
      </c>
      <c r="B34" s="646"/>
      <c r="D34" s="653" t="s">
        <v>186</v>
      </c>
      <c r="E34" s="653"/>
      <c r="F34" s="201"/>
    </row>
    <row r="35" spans="1:5" ht="18.75">
      <c r="A35" s="650">
        <f>E21</f>
        <v>22313051.880000003</v>
      </c>
      <c r="B35" s="651"/>
      <c r="D35" s="649">
        <f>A35/12</f>
        <v>1859420.9900000002</v>
      </c>
      <c r="E35" s="649"/>
    </row>
    <row r="36" spans="1:4" ht="20.25">
      <c r="A36" s="164"/>
      <c r="B36" s="642"/>
      <c r="C36" s="642"/>
      <c r="D36" s="274"/>
    </row>
    <row r="37" spans="1:4" ht="18.75">
      <c r="A37" s="165"/>
      <c r="B37" s="212"/>
      <c r="D37" s="147"/>
    </row>
    <row r="38" spans="1:2" ht="15">
      <c r="A38" s="149"/>
      <c r="B38" s="164" t="s">
        <v>12</v>
      </c>
    </row>
    <row r="42" ht="12.75">
      <c r="F42" s="147"/>
    </row>
  </sheetData>
  <sheetProtection/>
  <mergeCells count="33">
    <mergeCell ref="A6:G6"/>
    <mergeCell ref="A7:G7"/>
    <mergeCell ref="F13:G13"/>
    <mergeCell ref="F14:G14"/>
    <mergeCell ref="F15:G15"/>
    <mergeCell ref="F19:G19"/>
    <mergeCell ref="F11:G11"/>
    <mergeCell ref="F12:G12"/>
    <mergeCell ref="A9:B9"/>
    <mergeCell ref="D9:E9"/>
    <mergeCell ref="F20:G20"/>
    <mergeCell ref="F18:G18"/>
    <mergeCell ref="D8:E8"/>
    <mergeCell ref="A26:G26"/>
    <mergeCell ref="A28:B28"/>
    <mergeCell ref="A34:B34"/>
    <mergeCell ref="A32:B32"/>
    <mergeCell ref="D32:E32"/>
    <mergeCell ref="F21:G21"/>
    <mergeCell ref="F9:G9"/>
    <mergeCell ref="A10:B10"/>
    <mergeCell ref="D34:E34"/>
    <mergeCell ref="D10:E10"/>
    <mergeCell ref="D28:E28"/>
    <mergeCell ref="A23:B23"/>
    <mergeCell ref="D23:E23"/>
    <mergeCell ref="B36:C36"/>
    <mergeCell ref="D29:E29"/>
    <mergeCell ref="A31:B31"/>
    <mergeCell ref="D31:E31"/>
    <mergeCell ref="A29:B29"/>
    <mergeCell ref="D35:E35"/>
    <mergeCell ref="A35:B35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MOVIMENTAÇÃO CARGAS-1 SEMESTR</dc:title>
  <dc:subject/>
  <dc:creator>DERSA</dc:creator>
  <cp:keywords/>
  <dc:description/>
  <cp:lastModifiedBy>flavia.correa</cp:lastModifiedBy>
  <cp:lastPrinted>2021-12-06T19:58:24Z</cp:lastPrinted>
  <dcterms:created xsi:type="dcterms:W3CDTF">1999-02-08T11:09:12Z</dcterms:created>
  <dcterms:modified xsi:type="dcterms:W3CDTF">2022-01-06T17:28:34Z</dcterms:modified>
  <cp:category/>
  <cp:version/>
  <cp:contentType/>
  <cp:contentStatus/>
</cp:coreProperties>
</file>