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8"/>
  </bookViews>
  <sheets>
    <sheet name="resumo" sheetId="1" r:id="rId1"/>
    <sheet name="Mov. Cargas " sheetId="2" r:id="rId2"/>
    <sheet name="cargas mensal" sheetId="3" r:id="rId3"/>
    <sheet name="médias móveis cargas" sheetId="4" r:id="rId4"/>
    <sheet name="Compar. Cargas" sheetId="5" r:id="rId5"/>
    <sheet name="Export. Import." sheetId="6" r:id="rId6"/>
    <sheet name="Receitas 2016" sheetId="7" r:id="rId7"/>
    <sheet name="Compar. receitas" sheetId="8" r:id="rId8"/>
    <sheet name="berço 101" sheetId="9" r:id="rId9"/>
    <sheet name="outros berços" sheetId="10" r:id="rId10"/>
    <sheet name="Compar. berços" sheetId="11" r:id="rId11"/>
  </sheets>
  <definedNames>
    <definedName name="_xlnm.Print_Area" localSheetId="1">'Mov. Cargas '!$A$1:$O$105</definedName>
  </definedNames>
  <calcPr fullCalcOnLoad="1"/>
</workbook>
</file>

<file path=xl/sharedStrings.xml><?xml version="1.0" encoding="utf-8"?>
<sst xmlns="http://schemas.openxmlformats.org/spreadsheetml/2006/main" count="781" uniqueCount="455">
  <si>
    <t>MESES</t>
  </si>
  <si>
    <t xml:space="preserve">  J A N E I R O </t>
  </si>
  <si>
    <t xml:space="preserve"> F E V E R E I R O</t>
  </si>
  <si>
    <t xml:space="preserve">    M  A  R  Ç  O</t>
  </si>
  <si>
    <t xml:space="preserve">   A  B  R  I  L</t>
  </si>
  <si>
    <t xml:space="preserve">      M  A  I  O  </t>
  </si>
  <si>
    <t xml:space="preserve">  J  U  N  H  O  </t>
  </si>
  <si>
    <t xml:space="preserve">   TOTAL   ACUMULADO</t>
  </si>
  <si>
    <t>QTDE</t>
  </si>
  <si>
    <t>PESO</t>
  </si>
  <si>
    <t xml:space="preserve"> SUBTOTAL =====&gt;</t>
  </si>
  <si>
    <t>EXPORTAÇ/CARGA</t>
  </si>
  <si>
    <t xml:space="preserve"> </t>
  </si>
  <si>
    <t xml:space="preserve"> TOTAIS MENSAIS</t>
  </si>
  <si>
    <t>J U L H O</t>
  </si>
  <si>
    <t>A G O S T O</t>
  </si>
  <si>
    <t>JANEIRO</t>
  </si>
  <si>
    <t>FEVEREIRO</t>
  </si>
  <si>
    <t>MARÇO</t>
  </si>
  <si>
    <t>TOTAL ACUMULADO</t>
  </si>
  <si>
    <t>VEÍCULOS</t>
  </si>
  <si>
    <t>BARRILHA A GRANEL</t>
  </si>
  <si>
    <t>MALTE A GRANEL</t>
  </si>
  <si>
    <t>CEVADA A GRANEL</t>
  </si>
  <si>
    <t>IMPORTAÇÃO/DESCARGA</t>
  </si>
  <si>
    <t>EMBARC.APOIO TEBAR</t>
  </si>
  <si>
    <t>MÁQUINAS/EQUIPAMENT.</t>
  </si>
  <si>
    <t>RAÇÃO EM SACAS</t>
  </si>
  <si>
    <t>MÁQUINAS/EQUIPAM.</t>
  </si>
  <si>
    <t>ANIMAIS VIVOS</t>
  </si>
  <si>
    <t>ULEXITA A GRANEL</t>
  </si>
  <si>
    <t>SULFATO DE SÓDIO GR.</t>
  </si>
  <si>
    <t xml:space="preserve">TUBOS </t>
  </si>
  <si>
    <t>CHAPAS DE AÇO</t>
  </si>
  <si>
    <t>ÓXIDO DE ALUMÍNIO A GRANEL</t>
  </si>
  <si>
    <t>S E T E M B R O</t>
  </si>
  <si>
    <t>O U T U B R O</t>
  </si>
  <si>
    <t>N O V E M B R O</t>
  </si>
  <si>
    <t>D E Z E M B R O</t>
  </si>
  <si>
    <t>JULHO</t>
  </si>
  <si>
    <t>AGOSTO</t>
  </si>
  <si>
    <t>SETEMBRO</t>
  </si>
  <si>
    <t>OUTUBRO</t>
  </si>
  <si>
    <t>NOVEMBRO</t>
  </si>
  <si>
    <t>DEZEMBRO</t>
  </si>
  <si>
    <t>CONTEINER 40"</t>
  </si>
  <si>
    <t>BOBINAS FIO MÁQUINA</t>
  </si>
  <si>
    <t>TRILHOS DE AÇO</t>
  </si>
  <si>
    <t xml:space="preserve">Multas e Juros </t>
  </si>
  <si>
    <t>FINANCEIRAS:</t>
  </si>
  <si>
    <t>Administrativas</t>
  </si>
  <si>
    <t>Danos ao Patrimônio</t>
  </si>
  <si>
    <t>Telefonemas Terceirizad.</t>
  </si>
  <si>
    <t>RESSAR.DESPESAS:</t>
  </si>
  <si>
    <t>Balança</t>
  </si>
  <si>
    <t>Energia Elétrica</t>
  </si>
  <si>
    <t>Água</t>
  </si>
  <si>
    <t>TABELA V:</t>
  </si>
  <si>
    <t>TABELA IV</t>
  </si>
  <si>
    <t>Infra Estrutura Terrestre</t>
  </si>
  <si>
    <t>TABELA III</t>
  </si>
  <si>
    <t>Atracação</t>
  </si>
  <si>
    <t>TABELA II</t>
  </si>
  <si>
    <t>Util.Acesso Canal/Cais</t>
  </si>
  <si>
    <t>TABELA I</t>
  </si>
  <si>
    <t>TOTAL EM R$</t>
  </si>
  <si>
    <t>JUNHO</t>
  </si>
  <si>
    <t>MAIO</t>
  </si>
  <si>
    <t>ABRIL</t>
  </si>
  <si>
    <t>ÍTEM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</si>
  <si>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</si>
  <si>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</si>
  <si>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</si>
  <si>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</si>
  <si>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</si>
  <si>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</si>
  <si>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</si>
  <si>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</si>
  <si>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</si>
  <si>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</si>
  <si>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</si>
  <si>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</si>
  <si>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em  %</t>
  </si>
  <si>
    <t>TOTAL</t>
  </si>
  <si>
    <t>Exportação/ Carga</t>
  </si>
  <si>
    <t>Importação/ Descarga</t>
  </si>
  <si>
    <t>M Ê S</t>
  </si>
  <si>
    <t>Variação</t>
  </si>
  <si>
    <t xml:space="preserve">  EM TONELADAS</t>
  </si>
  <si>
    <t>EXPORTAÇÃO / IMPORTAÇÃO</t>
  </si>
  <si>
    <t>MOVIMENTAÇÃO DE CARGAS NO CAIS COMERCIAL</t>
  </si>
  <si>
    <t>QUADRO COMPARATIVO II</t>
  </si>
  <si>
    <t xml:space="preserve">T O T A L </t>
  </si>
  <si>
    <t xml:space="preserve">VARIAÇÃO </t>
  </si>
  <si>
    <t>NAVIOS LONGO CURSO E CABOTAGEM EM DIAS</t>
  </si>
  <si>
    <t>OCUPAÇÃO DEMAIS BERÇOS - PORTO S.S.</t>
  </si>
  <si>
    <t>OCUPAÇÃO DO BERÇO 101 - PORTO S.S.</t>
  </si>
  <si>
    <t>MENOR MOVIMENTAÇÃO</t>
  </si>
  <si>
    <t>MAIOR MOVIMENTAÇÃO</t>
  </si>
  <si>
    <t>LEGENDA</t>
  </si>
  <si>
    <t>MÊS</t>
  </si>
  <si>
    <t>ANO</t>
  </si>
  <si>
    <t>MOVIMENTAÇÃO DE CARGAS NO PORTO DE SÃO SEBASTIÃO</t>
  </si>
  <si>
    <t xml:space="preserve">inicial </t>
  </si>
  <si>
    <t>MÉDIA MENSAL</t>
  </si>
  <si>
    <t>TOTAL ACUMUL. 12 MESES</t>
  </si>
  <si>
    <t>PERÍODO APURADO</t>
  </si>
  <si>
    <t>MOVIMENTAÇÃO DE CARGAS NO PORTO DE SÃO SEBASTIÃO - MÉDIAS MÓVEIS</t>
  </si>
  <si>
    <t>ACUMULADO NO ANO</t>
  </si>
  <si>
    <t>EM DIAS</t>
  </si>
  <si>
    <t>OCUPAÇÃO</t>
  </si>
  <si>
    <t>ATRACADO</t>
  </si>
  <si>
    <t xml:space="preserve">N A V I O </t>
  </si>
  <si>
    <t>TEMPO (DIAS)</t>
  </si>
  <si>
    <t>PERÍODO</t>
  </si>
  <si>
    <t>NOME DO</t>
  </si>
  <si>
    <t>PERÍODOS DE OCUPAÇÃO  -  BERÇO 101  /  LONGO CURSO e CABOTAGEM</t>
  </si>
  <si>
    <t>PORTUÁRIO.</t>
  </si>
  <si>
    <t>* Não constam deste informativo, o tempo de ocupação dos berços internos com as OPERAÇÕES DE APOIO</t>
  </si>
  <si>
    <t>VARIAÇÃO %</t>
  </si>
  <si>
    <t>COMPARATIVOS E VARIAÇÕES PERCENTUAIS</t>
  </si>
  <si>
    <t>média mensal</t>
  </si>
  <si>
    <t>TOTAL GERAL</t>
  </si>
  <si>
    <t>SUBTOTAL</t>
  </si>
  <si>
    <t>Chapas de aço</t>
  </si>
  <si>
    <t>Bags Quimicos</t>
  </si>
  <si>
    <t>Sacas de açucar</t>
  </si>
  <si>
    <t>Ração animal</t>
  </si>
  <si>
    <t>Animais Vivos</t>
  </si>
  <si>
    <t>Veículos</t>
  </si>
  <si>
    <t>Exportações/carregamentos</t>
  </si>
  <si>
    <t>Óxido de Alumínio granel</t>
  </si>
  <si>
    <t>Bobinas Fio Máquina</t>
  </si>
  <si>
    <t>Trilhos de Aço</t>
  </si>
  <si>
    <t>Bauxita a granel/ Bags</t>
  </si>
  <si>
    <t>Ulexita a granel</t>
  </si>
  <si>
    <t>Maquinas/Equipamentos</t>
  </si>
  <si>
    <t>Malte e Cevada granel</t>
  </si>
  <si>
    <t>Sulfato Sódio granel</t>
  </si>
  <si>
    <t>Barrilha granel</t>
  </si>
  <si>
    <t>Importações/descargas</t>
  </si>
  <si>
    <t>DADOS EM TONELADAS MOVIMENTADAS</t>
  </si>
  <si>
    <t>PORTO DE SÃO SEBASTIÃO - Quadros comparativos</t>
  </si>
  <si>
    <t xml:space="preserve">OUTRAS </t>
  </si>
  <si>
    <t>RECEITAS FINANC.</t>
  </si>
  <si>
    <r>
      <t xml:space="preserve">TAB IV </t>
    </r>
    <r>
      <rPr>
        <sz val="10"/>
        <rFont val="Arial"/>
        <family val="2"/>
      </rPr>
      <t>(Armaz. e Perm. Uso)</t>
    </r>
  </si>
  <si>
    <t>TAB III</t>
  </si>
  <si>
    <t>TAB II</t>
  </si>
  <si>
    <t>TAB I - canal/ cais</t>
  </si>
  <si>
    <t>DADOS EM R$</t>
  </si>
  <si>
    <t>MÉDIA MENSAL FATURAMENTO</t>
  </si>
  <si>
    <t>Mês Atual</t>
  </si>
  <si>
    <t>RECEITAS FATURADAS</t>
  </si>
  <si>
    <t>MÉDIA MENSAL MOV. DE CARGAS</t>
  </si>
  <si>
    <t>* cresce a ocupação do berço e reduz, numa lógica positiva, a ociosidade</t>
  </si>
  <si>
    <t>OPERACIONAL</t>
  </si>
  <si>
    <t>CONTEINER 20"</t>
  </si>
  <si>
    <t>Navios Atracados no Mês ( Berço 101 - Principal )</t>
  </si>
  <si>
    <t>Tempo de Ocupação do Cais principal em Dias</t>
  </si>
  <si>
    <t>Total de Cargas Movimentadas no Mês em tons</t>
  </si>
  <si>
    <t>Faturamento no Mês</t>
  </si>
  <si>
    <t>CONTEINER 20" CHEIOS</t>
  </si>
  <si>
    <t>CONTEINER 40" CHEIOS</t>
  </si>
  <si>
    <t>CONTAINER 40" CHEIOS</t>
  </si>
  <si>
    <t>Conteiner 20" CHEIOS</t>
  </si>
  <si>
    <t>Conteiner 40" CHEIOS</t>
  </si>
  <si>
    <t>Container 40" CHEIOS</t>
  </si>
  <si>
    <t xml:space="preserve">Taxas tarifárias </t>
  </si>
  <si>
    <t>SULFATO DE SÓDIO A GRANEL</t>
  </si>
  <si>
    <t>MÁQUINAS/EQUIPAMENTOS</t>
  </si>
  <si>
    <t>CIMENTO GRANEL (Apoio Marít.)</t>
  </si>
  <si>
    <t>Cimento granel (Ap. Mar.)</t>
  </si>
  <si>
    <t>APOIO PORTUÁRIO</t>
  </si>
  <si>
    <t>TUBOS (Apoio Marít.)</t>
  </si>
  <si>
    <t>Operação Apoio Portuário</t>
  </si>
  <si>
    <t>Tubos  ( Apoio Marítimo)</t>
  </si>
  <si>
    <t>Maquinas e Equipamentos</t>
  </si>
  <si>
    <t>NÍQUEL A GRANEL</t>
  </si>
  <si>
    <t>MÓDULOS SCHAHIN (Apoio. Marít.)</t>
  </si>
  <si>
    <t>Níquel a granel</t>
  </si>
  <si>
    <r>
      <t>Módulos Schahin (</t>
    </r>
    <r>
      <rPr>
        <sz val="10"/>
        <rFont val="Arial"/>
        <family val="2"/>
      </rPr>
      <t>Apo. Mar.)</t>
    </r>
  </si>
  <si>
    <t>jan/14 a dez/14</t>
  </si>
  <si>
    <t>Janeiro a dezembro</t>
  </si>
  <si>
    <t>MÉDIA MENSAL MOVIMENTAÇÃO</t>
  </si>
  <si>
    <t>MÉDIA RECEITA POR TONELADA</t>
  </si>
  <si>
    <t>Armazenagem</t>
  </si>
  <si>
    <t>Permissões de Uso</t>
  </si>
  <si>
    <t>TOTAL RESSARCIMENTOS</t>
  </si>
  <si>
    <t>RECEITA OPERACIONAL BRUTA</t>
  </si>
  <si>
    <t>TOTAL ENTRADAS</t>
  </si>
  <si>
    <t>fev/14 a jan/15</t>
  </si>
  <si>
    <t>Receita Econômica 2015</t>
  </si>
  <si>
    <t>PERÍODOS DE OCUPAÇÃO  -  DEMAIS BERÇOS  - APOIO MARÍTIMO</t>
  </si>
  <si>
    <t>mar/14 a fev/15</t>
  </si>
  <si>
    <t>evolução anual da movimentação</t>
  </si>
  <si>
    <t>Abr/14 a Mar/15</t>
  </si>
  <si>
    <t>Mai/14 a Abr/15</t>
  </si>
  <si>
    <t>Jun/14 a Mai/15</t>
  </si>
  <si>
    <t>Jul/14 a Jun/15</t>
  </si>
  <si>
    <t>ago/14 a jul/15</t>
  </si>
  <si>
    <t>TAB V (balanç.+agua/luz)</t>
  </si>
  <si>
    <t>CHAPAS DE AÇO/ AMARRADOS</t>
  </si>
  <si>
    <t>CONTAINER 20" CHEIOS</t>
  </si>
  <si>
    <t>set/14 a Ago/15</t>
  </si>
  <si>
    <t>Chapas de Aço/Amarrados</t>
  </si>
  <si>
    <t>Container 20" CHEIOS</t>
  </si>
  <si>
    <t>out/14 a set/15</t>
  </si>
  <si>
    <t>OPERAÇÕES DE APOIO MARÍTIMO</t>
  </si>
  <si>
    <t>nov/14 a out/15</t>
  </si>
  <si>
    <t>TEMPO VAGO</t>
  </si>
  <si>
    <t>O tempo de ocupação dos berços é calculado em função do somatório de horas de permanência das embarcações, desde a chegada ao Porto e até sua desatra-</t>
  </si>
  <si>
    <t>cação, convertido em dias.</t>
  </si>
  <si>
    <t>Navios Atracados no Mês-demais berços-ap.mar.</t>
  </si>
  <si>
    <r>
      <t>Tempo Vago</t>
    </r>
    <r>
      <rPr>
        <b/>
        <sz val="12"/>
        <color indexed="62"/>
        <rFont val="Calibri"/>
        <family val="2"/>
      </rPr>
      <t xml:space="preserve"> </t>
    </r>
    <r>
      <rPr>
        <sz val="12"/>
        <color indexed="8"/>
        <rFont val="Calibri"/>
        <family val="2"/>
      </rPr>
      <t>do Cais principal em Dias</t>
    </r>
  </si>
  <si>
    <t>dez/14 a nov/15</t>
  </si>
  <si>
    <t>Jan/15 a dez/15</t>
  </si>
  <si>
    <t>Produtos Movimentados em 2015</t>
  </si>
  <si>
    <t>RELATÓRIO DE RECEITAS FATURADAS DO PORTO DE SÃO SEBASTIÃO 2016</t>
  </si>
  <si>
    <t>NAVIOS ATRACADOS NO PORTO  -  2016</t>
  </si>
  <si>
    <t>001 - BOSPORUS HIGHWAY</t>
  </si>
  <si>
    <t>02/01 - 23:15 H A 03/01 - 06:59 H</t>
  </si>
  <si>
    <t>002 - STAR LILY</t>
  </si>
  <si>
    <t>04/01 - 06:10 H A 07/01 - 02:40 H</t>
  </si>
  <si>
    <t>003 - TONCHOU ARROW</t>
  </si>
  <si>
    <t>07/01 - 04:20 H A 10/01 - 15:00 H</t>
  </si>
  <si>
    <t>004 - BANGKOK HIGHWAY</t>
  </si>
  <si>
    <t>22/01 - 08:15 H A 22/01 - 18:59 H</t>
  </si>
  <si>
    <t xml:space="preserve">   MOVIMENTAÇÃO DE CARGAS NO PORTO DE SÃO SEBASTIÃO  -  1º  SEMESTRE 2016  ( EM TONELADAS )</t>
  </si>
  <si>
    <t xml:space="preserve">   MOVIMENTAÇÃO DE CARGAS NO PORTO DE SÃO SEBASTIÃO  -  2º  SEMESTRE 2016  ( EM TONELADAS )</t>
  </si>
  <si>
    <t>Fev/15 a jan/16</t>
  </si>
  <si>
    <t>Produtos Movimentados em 2016</t>
  </si>
  <si>
    <t>Receita Econômica 2016</t>
  </si>
  <si>
    <t>RESUMO RELATÓRIO OPERACIONAL E DE RECEITAS FATURADAS 2016</t>
  </si>
  <si>
    <t>Mês Atual 2016</t>
  </si>
  <si>
    <t>MOVIMENTAÇÃO 2016</t>
  </si>
  <si>
    <t>MOVIMENTAÇÃO 2016 - financeira</t>
  </si>
  <si>
    <t>MOVIMENTAÇÃO 2016 - operacional</t>
  </si>
  <si>
    <t>005 - ADFINES NORTH</t>
  </si>
  <si>
    <t>04/02 - 13:30 H A 06/02 - 12:50 H</t>
  </si>
  <si>
    <t>006 - ROCKIES HIGHWAY</t>
  </si>
  <si>
    <t>19/02 - 03:00 H A 19/02 - 14:10 H</t>
  </si>
  <si>
    <t>Mar/15 a fev/16</t>
  </si>
  <si>
    <t>007 - ANSAC KATHRYN</t>
  </si>
  <si>
    <t>19/02 - 16:10 H A 23/02 - 15:30 H</t>
  </si>
  <si>
    <t>008 - BOSPORUS HIGHWAY</t>
  </si>
  <si>
    <t>24/02 - 17:15 H A 25/02 - 00:59 H</t>
  </si>
  <si>
    <t>Mês Anterior 2016</t>
  </si>
  <si>
    <t>TUBOS</t>
  </si>
  <si>
    <t>Abr/15 a Mar/16</t>
  </si>
  <si>
    <t>009 - FEDERAL SETO</t>
  </si>
  <si>
    <t>29/02 - 03:00 H A 29/02 - 23:59 H</t>
  </si>
  <si>
    <t>01/03 - 00:00 H A 05/03 - 20:50 H</t>
  </si>
  <si>
    <t>05/03 - 22:20 H A 06/03 - 22:30 H</t>
  </si>
  <si>
    <t>010 - GRAL MANUEL BELGRANO</t>
  </si>
  <si>
    <t>011 - FEDERAL SETO</t>
  </si>
  <si>
    <t>07/03 - 02:00 H A 09/03 - 16:30 H</t>
  </si>
  <si>
    <t>012 - DA CHANG</t>
  </si>
  <si>
    <t>10/03 - 01:30 H A 10/03 - 15:25 H</t>
  </si>
  <si>
    <t>013 - EUPHRATES HIGHWAY</t>
  </si>
  <si>
    <t>17/03 - 01:20 H A 17/03 - 22:48 H</t>
  </si>
  <si>
    <t>014 - GRAL MANUEL BELGRANO</t>
  </si>
  <si>
    <t>20/03 - 19:20 H A 22/03 - 01:10 H</t>
  </si>
  <si>
    <t>015 - ANSAC AMITY</t>
  </si>
  <si>
    <t>016 - SAGA BEIJA FLOR</t>
  </si>
  <si>
    <t>017 - CORELLA ARROW</t>
  </si>
  <si>
    <t>018 - OSPREY ARROW</t>
  </si>
  <si>
    <t>019 - EUPHRATES HIGHWAY</t>
  </si>
  <si>
    <t>22/03 - 07:30 H A 24/03 - 10:15 H</t>
  </si>
  <si>
    <t>24/03 - 12:00 H A 27/03 - 10:00 H</t>
  </si>
  <si>
    <t>27/03 - 12:30 H A 28/03 - 16:42 H</t>
  </si>
  <si>
    <t>28/03 - 18:15 H A 31/03 - 02:15 H</t>
  </si>
  <si>
    <t>31/03 - 09:10 H A 31/03 - 16:30 H</t>
  </si>
  <si>
    <t>020 - SIBI</t>
  </si>
  <si>
    <t>31/03 - 18:17 H A 31/03 - 23:59 H</t>
  </si>
  <si>
    <t>021 - GRAL MANUEL BELGRANO</t>
  </si>
  <si>
    <t>05/04 - 18:40 H A 06/04 - 12:59 H</t>
  </si>
  <si>
    <t>01-04 - 00:00 H A 05/04 - 17:05 H</t>
  </si>
  <si>
    <t>022 - AEGEAN HIGHWAY</t>
  </si>
  <si>
    <t>06/04 - 15:13 H A 07/04 - 03:15 H</t>
  </si>
  <si>
    <t>023 - COTINGA ARROW</t>
  </si>
  <si>
    <t>08/04 - 20:10 H A 10/04 - 00:10 H</t>
  </si>
  <si>
    <t>024 - EASTERN HIGHWAY</t>
  </si>
  <si>
    <t>12/04 - 10:00 H A 12/04 - 18:30 H</t>
  </si>
  <si>
    <t>025 - SAN FELICE</t>
  </si>
  <si>
    <t>18/04 - 07:00 H A 20/04 - 17:00 H</t>
  </si>
  <si>
    <t>mai/15 a abr/16</t>
  </si>
  <si>
    <t>Meio Ambiente</t>
  </si>
  <si>
    <t>RESSARC. AMBIENTAL</t>
  </si>
  <si>
    <t>jun/15 a maio/16</t>
  </si>
  <si>
    <t>026 - GRAL MANUEL BELGRANO</t>
  </si>
  <si>
    <t>02/05 - 06:12 H A 02/05 - 18:59 H</t>
  </si>
  <si>
    <t>027 - ANSAC KATHRYN</t>
  </si>
  <si>
    <t>04/05 - 06:00 H A 05/05 - 23:30 H</t>
  </si>
  <si>
    <t>028 - BANGKOK HIGHWAY</t>
  </si>
  <si>
    <t>029 - BBC ONTÁRIO</t>
  </si>
  <si>
    <t>030 - PUFFIN ARROW</t>
  </si>
  <si>
    <t>031 - GRAND DUKE</t>
  </si>
  <si>
    <t>032 - BBC ONTÁRIO</t>
  </si>
  <si>
    <t>033 -  EQUATOR</t>
  </si>
  <si>
    <t>034 - GUANGZHOU HIGHWAY</t>
  </si>
  <si>
    <t>10/05 - 18:30 H A 11/05 - 08:50 H</t>
  </si>
  <si>
    <t>12/05 - 07:40 H A 15/05 - 12:30 H</t>
  </si>
  <si>
    <t>16/05 - 07:10 H A 19/05 - 14:45 H</t>
  </si>
  <si>
    <t>19/05 - 16:25 H A 20/05 - 06:07 H</t>
  </si>
  <si>
    <t>20/05 - 09:30 H A 21/05 - 18:13 H</t>
  </si>
  <si>
    <t>22/05 - 06:08 H A 25/05 - 17:00 H</t>
  </si>
  <si>
    <t>25/05 - 19:00 H A 26/05 - 00:50 H</t>
  </si>
  <si>
    <t>jul/15 a jun/16</t>
  </si>
  <si>
    <t>035 - GRAL MANUEL BELGRANO</t>
  </si>
  <si>
    <t>06/06 - 01:55 H A 06/06 - 20:00 H</t>
  </si>
  <si>
    <t>036 - WARDEH</t>
  </si>
  <si>
    <t>08/06 - 08:40 H A 09/06 - 20:30 H</t>
  </si>
  <si>
    <t>037 - GREBE ARROW</t>
  </si>
  <si>
    <t>15/06 - 07:30 H A 17/06 - 06:59 H</t>
  </si>
  <si>
    <t>038 - OCEAN SHEARER</t>
  </si>
  <si>
    <t>17/06 - 09:00 H A 18/06 - 20:20 H</t>
  </si>
  <si>
    <t>039 - NOCC OCEANIC</t>
  </si>
  <si>
    <t>19/06 - 08:00 H A 19/06 - 18:15 H</t>
  </si>
  <si>
    <t>040 - SIVA EMERALD</t>
  </si>
  <si>
    <t>19/06 - 20:00 H A 24/06 - 10:45 H</t>
  </si>
  <si>
    <t>041 - GEIRANGER</t>
  </si>
  <si>
    <t>29/06 - 23:55 H A 30/06 - 24:00 H</t>
  </si>
  <si>
    <t xml:space="preserve">ACUMULADO NO ANO </t>
  </si>
  <si>
    <t>NAVIOS ATRACADOS NO PORTO DE SÃO SEBASTIÃO  -  2016</t>
  </si>
  <si>
    <t>ago/15 a jul/16</t>
  </si>
  <si>
    <t>01/07 - 00:00 H A 02/07 - 05:20 H</t>
  </si>
  <si>
    <t>04/07 - 23:05 H A 05/07 - 17:15 H</t>
  </si>
  <si>
    <t>042 - GRAL MANUEL BELGRANO</t>
  </si>
  <si>
    <t>043 - CEDAR ARROW</t>
  </si>
  <si>
    <t>044 - BANGKOK HIGHWAY</t>
  </si>
  <si>
    <t>045 - OSPREY ARROW</t>
  </si>
  <si>
    <t>046 - JASPER ARROW</t>
  </si>
  <si>
    <t>047 - GRAL SAN MARTIN</t>
  </si>
  <si>
    <t>048 - PORTLAND BAY</t>
  </si>
  <si>
    <t>05/07 - 19:10 H A 06/07 - 12:59 H</t>
  </si>
  <si>
    <t>09/07 - 05:10 H A 09/07 - 16:10 H</t>
  </si>
  <si>
    <t>18/07 - 22:00 H A 19/07 - 22:55 H</t>
  </si>
  <si>
    <t>20/07 - 08:10 H A 25/07 - 06:59 H</t>
  </si>
  <si>
    <t>13/07 - 04:50 H A 14/07 - 23:59 H</t>
  </si>
  <si>
    <t>20/07 - 01:20 H A 20/07 - 06:59 H</t>
  </si>
  <si>
    <t>049 - OCEAN SHEARER</t>
  </si>
  <si>
    <t>27/07 - 20:10 H A 31/07 - 23:59 H</t>
  </si>
  <si>
    <t>set/15 a ago/16</t>
  </si>
  <si>
    <t>01/08 - 00:00 H A 02/08 - 12:56 H</t>
  </si>
  <si>
    <t>050 - AMBER ARROW</t>
  </si>
  <si>
    <t>03/08 - 13:20 H A 04/08 - 05:45 H</t>
  </si>
  <si>
    <t>051 - OCEAN SHEARER</t>
  </si>
  <si>
    <t>06/08 - 07:00 H A 07/08 - 01:00 H</t>
  </si>
  <si>
    <t>052 - MISAGO ARROW</t>
  </si>
  <si>
    <t>08/08 - 15:00 H A 12/08 - 08:25 H</t>
  </si>
  <si>
    <t>053 - IVORY ARROW</t>
  </si>
  <si>
    <t>12/08 - 20:30 H A 13/08 - 07:39 H</t>
  </si>
  <si>
    <t>054 - SANTA RITA</t>
  </si>
  <si>
    <t>13/08 - 09:05 H A 16/08 - 12:38 H</t>
  </si>
  <si>
    <t>055 - OCEAN SWAGMAN</t>
  </si>
  <si>
    <t>16/08 - 14:00 H A 18/08 - 02:55 H</t>
  </si>
  <si>
    <t>056 - BBC LOUISIANA</t>
  </si>
  <si>
    <t>18/08 - 05:15 H A 23/08 - 06:30 H</t>
  </si>
  <si>
    <t>057 - NOCC OCEANIC</t>
  </si>
  <si>
    <t>23/08 - 17:35 H A 24/08 - 10:00 H</t>
  </si>
  <si>
    <t>058 - AMBER ARROW</t>
  </si>
  <si>
    <t>24/08 - 12:40 H A 24/08 - 18:50 H</t>
  </si>
  <si>
    <t>059 - AFRICAN SWAN</t>
  </si>
  <si>
    <t>24/08 - 21:05 H A 26/08 - 05:15 H</t>
  </si>
  <si>
    <t>060 - GRAL SAN MARTIN</t>
  </si>
  <si>
    <t>26/08 - 07:00 H A 26/08 - 17:20 H</t>
  </si>
  <si>
    <t>061 - KINATSI</t>
  </si>
  <si>
    <t>26/08 - 20:35 H A 28/08 - 07:40 H</t>
  </si>
  <si>
    <t>062 - HANZE GOTEBORG</t>
  </si>
  <si>
    <t>28/08 - 09:30 H A 31/08 - 23:60 H</t>
  </si>
  <si>
    <t>out/15 a set/16</t>
  </si>
  <si>
    <t>01/09 - 00:00 H A 01/09 - 10:25 H</t>
  </si>
  <si>
    <t>063 - DUSITA NAREE</t>
  </si>
  <si>
    <t>01/09 - 13:00 H A 05/09 - 22:55 H</t>
  </si>
  <si>
    <t>06/09 - 01:00 H A 06/09 - 05:50 H</t>
  </si>
  <si>
    <t>065 - KUMANO LILY</t>
  </si>
  <si>
    <t>066 - NOCC OCEANIC</t>
  </si>
  <si>
    <t>12/09 - 06:35 H A 15/09 - 00:35 H</t>
  </si>
  <si>
    <t>15/09 - 02:15 H A 17/09 - 08:00 H</t>
  </si>
  <si>
    <t>069 - JASPER ARROW</t>
  </si>
  <si>
    <t>070 - IVORY ARROW</t>
  </si>
  <si>
    <t>21/09 - 17:40 H A 22/09 - 01:30 H</t>
  </si>
  <si>
    <t>24/09 - 07:00 H A 26/09 - 18:20 H</t>
  </si>
  <si>
    <t>064 - GRAL SAN MARTIN</t>
  </si>
  <si>
    <t>06/09 - 07:30 H A 09/09 - 12:59 H</t>
  </si>
  <si>
    <t>11/09 - 05:40 H A 11/09 - 14:20 H</t>
  </si>
  <si>
    <t>067 - JAPIN ARROW</t>
  </si>
  <si>
    <t>068 - PLOVER ARROW</t>
  </si>
  <si>
    <t>20/09 - 09:15 H A 21/09 - 09:45 H</t>
  </si>
  <si>
    <t>071 - PANVISION</t>
  </si>
  <si>
    <t>072 - IVORY ARROW</t>
  </si>
  <si>
    <t>09/10 - 20:35 H A 10/10 - 06:15 H</t>
  </si>
  <si>
    <t>073 - GRAL SAN MARTIN</t>
  </si>
  <si>
    <t>13/10 - 07:00 H A 13/10 - 23:20 H</t>
  </si>
  <si>
    <t>074 - AMBER ARROW</t>
  </si>
  <si>
    <t>19/10 - 20:00 H A 20/10 - 06:55 H</t>
  </si>
  <si>
    <t>075 - PORTLAND BAY</t>
  </si>
  <si>
    <t>10/10 - 08:00 H A 11/10 - 19:55 H</t>
  </si>
  <si>
    <t>14/10 - 08:35 H A 19/10 - 18:20 H</t>
  </si>
  <si>
    <t>076 - TEAL ARROW</t>
  </si>
  <si>
    <t>20/10 - 10:10 H A 22/10 - 16:40 H</t>
  </si>
  <si>
    <t>077 - GRAL SAN MARTIN</t>
  </si>
  <si>
    <t>25/10 - 21:20 H A 26/10 - 06:55 H</t>
  </si>
  <si>
    <t>078 - NOCC OCEANIC</t>
  </si>
  <si>
    <t>26/10 - 09:40 H A 27/10 - 01:35 H</t>
  </si>
  <si>
    <t>nov/15 a out/16</t>
  </si>
  <si>
    <t>079 - OCEAN SWAGMAN</t>
  </si>
  <si>
    <t>080 - JACAMAR ARROW</t>
  </si>
  <si>
    <t>081 - GRAL MANUEL BELGRANO</t>
  </si>
  <si>
    <t>082 - NOCC OCEANIC</t>
  </si>
  <si>
    <t>083 - ATACAMA</t>
  </si>
  <si>
    <t>084 - TAO MARINER</t>
  </si>
  <si>
    <t>085 - JASPER ARROW</t>
  </si>
  <si>
    <t>086 - GRAL MANUEL BELGRANO</t>
  </si>
  <si>
    <t>087 - KIWI ARROW</t>
  </si>
  <si>
    <t>23/11 - 17:15 H A 24/11 - 19:00 H</t>
  </si>
  <si>
    <t>03/11 - 08:35 H A 06/11 - 00:35 H</t>
  </si>
  <si>
    <t>06/11 - 02:30 H A 09/11 - 12:55 H</t>
  </si>
  <si>
    <t>10/11 - 10:55 H A 10/11 - 23:25 H</t>
  </si>
  <si>
    <t>11/11 - 01:45 H A 17/11 - 12:25 H</t>
  </si>
  <si>
    <t>22/11 - 20:30 H A 23/11 - 14:45 H</t>
  </si>
  <si>
    <t>09/11 - 15:15 H A 10/11 - 08:00 H</t>
  </si>
  <si>
    <t>17/11 - 14:15 H A 20/11 - 17:10 H</t>
  </si>
  <si>
    <t>20/11 - 19:00 H A 21/11 - 01:00 H</t>
  </si>
  <si>
    <t>Receita Econômica NOVEMBRO/2016</t>
  </si>
  <si>
    <t>dez/15 a nov/16</t>
  </si>
  <si>
    <t>Produtos Movimentados NOVEMBRO/2016</t>
  </si>
  <si>
    <t>088 - ABOU KARIM II</t>
  </si>
  <si>
    <t>29/11 - 07:30 H A 30/11 - 24:00 H</t>
  </si>
  <si>
    <t>CAIS COMERCIAL - Mês: DEZEMBRO</t>
  </si>
  <si>
    <t>PERIODO DE JANEIRO DE 2005 A DEZEMBRO DE 2016</t>
  </si>
  <si>
    <t>jan/16 a dez/16</t>
  </si>
  <si>
    <t>Produtos Movimentados DEZEMBRO/2015</t>
  </si>
  <si>
    <t>Produtos Movimentados DEZEMBRO/2016</t>
  </si>
  <si>
    <t>Mov. últimos 12 meses (JAN/16 a DEZ/2016)</t>
  </si>
  <si>
    <t>Receita Econômica DEZEMBRO/2015</t>
  </si>
  <si>
    <t>Receita Econômica DEZEMBRO/2016</t>
  </si>
  <si>
    <t>Receita últimos 12 meses (JAN/2016  a DEZ/2016)</t>
  </si>
  <si>
    <t>01/12 - 00:00 H A 01/12 - 00:15 H</t>
  </si>
  <si>
    <t>089 - GRAL MANUEL BELGRANO</t>
  </si>
  <si>
    <t>07/12 - 03:10 H A 07/12 - 13:00 H</t>
  </si>
  <si>
    <t>090 - NORD QUEBEC</t>
  </si>
  <si>
    <t>07/12 - 14:55 H A 09/12 - 17:30 H</t>
  </si>
  <si>
    <t>091 - IVORY ARROW</t>
  </si>
  <si>
    <t>12/12 - 22:15 H A 13/12 - 08:35 H</t>
  </si>
  <si>
    <t>092 - KASHI ARROW</t>
  </si>
  <si>
    <t>13/12 - 10:25 H A 16/12 - 22:45 H</t>
  </si>
  <si>
    <t>093 - THORCO LUNA</t>
  </si>
  <si>
    <t>17/12 - 01:05 H A 19/12 - 18:35 H</t>
  </si>
  <si>
    <t>094 - EAGLE ARROW</t>
  </si>
  <si>
    <t>19/12 - 20:25 H A 22/12 - 06:25 H</t>
  </si>
  <si>
    <t>095 - AMBER ARROW</t>
  </si>
  <si>
    <t>24/12 - 15:20 H A 25/12 - 20:05 H</t>
  </si>
  <si>
    <t>096 - TBC PRESTIGE</t>
  </si>
  <si>
    <t>25/12 - 23:35 H A 31/12 - 24:00 H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</si>
</sst>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_(* #,##0.000_);_(* \(#,##0.000\);_(* &quot;-&quot;??_);_(@_)"/>
    <numFmt numFmtId="183" formatCode="_(* #,##0_);_(* \(#,##0\);_(* &quot;-&quot;??_);_(@_)"/>
    <numFmt numFmtId="184" formatCode="#,##0.000"/>
    <numFmt numFmtId="185" formatCode="_(* #,##0.000_);_(* \(#,##0.000\);_(* &quot;-&quot;???_);_(@_)"/>
    <numFmt numFmtId="186" formatCode="#,##0.000_);\(#,##0.000\)"/>
    <numFmt numFmtId="187" formatCode="_-* #,##0.000\ _€_-;\-* #,##0.000\ _€_-;_-* &quot;-&quot;???\ _€_-;_-@_-"/>
    <numFmt numFmtId="188" formatCode="[$-816]dddd\,\ d&quot; de &quot;mmmm&quot; de &quot;yyyy"/>
    <numFmt numFmtId="189" formatCode="0.0"/>
    <numFmt numFmtId="190" formatCode="_(* #,##0.0_);_(* \(#,##0.0\);_(* &quot;-&quot;??_);_(@_)"/>
    <numFmt numFmtId="191" formatCode="[$-416]dddd\,\ d&quot; de &quot;mmmm&quot; de &quot;yyyy"/>
    <numFmt numFmtId="192" formatCode="[$-F400]h:mm:ss\ AM/PM"/>
    <numFmt numFmtId="193" formatCode="_-* #,##0.000_-;\-* #,##0.000_-;_-* &quot;-&quot;???_-;_-@_-"/>
    <numFmt numFmtId="194" formatCode="dd\-mmm\-yy"/>
    <numFmt numFmtId="195" formatCode="0.0000"/>
    <numFmt numFmtId="196" formatCode="_-* #,##0.00000\ _€_-;\-* #,##0.00000\ _€_-;_-* &quot;-&quot;???\ _€_-;_-@_-"/>
    <numFmt numFmtId="197" formatCode="_-* #,##0.0000\ _€_-;\-* #,##0.0000\ _€_-;_-* &quot;-&quot;???\ _€_-;_-@_-"/>
    <numFmt numFmtId="198" formatCode="_(* #,##0.0000_);_(* \(#,##0.0000\);_(* &quot;-&quot;???_);_(@_)"/>
    <numFmt numFmtId="199" formatCode="_(* #,##0.0000_);_(* \(#,##0.0000\);_(* &quot;-&quot;??_);_(@_)"/>
    <numFmt numFmtId="200" formatCode="_(* #,##0.0000_);_(* \(#,##0.0000\);_(* &quot;-&quot;????_);_(@_)"/>
    <numFmt numFmtId="201" formatCode="_(* #,##0.000_);_(* \(#,##0.000\);_(* &quot;-&quot;_);_(@_)"/>
    <numFmt numFmtId="202" formatCode="0.00000"/>
    <numFmt numFmtId="203" formatCode="_-[$R$-416]\ * #,##0.00_-;\-[$R$-416]\ * #,##0.00_-;_-[$R$-416]\ * &quot;-&quot;??_-;_-@_-"/>
    <numFmt numFmtId="204" formatCode="_-* #,##0.000_-;\-* #,##0.000_-;_-* &quot;-&quot;??_-;_-@_-"/>
    <numFmt numFmtId="205" formatCode="_-* #,##0.0000_-;\-* #,##0.0000_-;_-* &quot;-&quot;??_-;_-@_-"/>
    <numFmt numFmtId="206" formatCode="_-* #,##0_-;\-* #,##0_-;_-* &quot;-&quot;??_-;_-@_-"/>
    <numFmt numFmtId="207" formatCode="0.000%"/>
    <numFmt numFmtId="208" formatCode="0.000"/>
    <numFmt numFmtId="209" formatCode="0.000000"/>
    <numFmt numFmtId="210" formatCode="0.0000000"/>
    <numFmt numFmtId="211" formatCode="0.00000000"/>
    <numFmt numFmtId="212" formatCode="0.0%"/>
    <numFmt numFmtId="213" formatCode="#,##0.0"/>
    <numFmt numFmtId="214" formatCode="_-&quot;R$&quot;\ * #,##0.000_-;\-&quot;R$&quot;\ * #,##0.000_-;_-&quot;R$&quot;\ * &quot;-&quot;??_-;_-@_-"/>
    <numFmt numFmtId="215" formatCode="_-&quot;R$&quot;\ * #,##0.000_-;\-&quot;R$&quot;\ * #,##0.000_-;_-&quot;R$&quot;\ * &quot;-&quot;???_-;_-@_-"/>
    <numFmt numFmtId="216" formatCode="&quot;R$&quot;\ #,##0.00"/>
    <numFmt numFmtId="217" formatCode="_-&quot;R$&quot;\ * #,##0.0_-;\-&quot;R$&quot;\ * #,##0.0_-;_-&quot;R$&quot;\ * &quot;-&quot;??_-;_-@_-"/>
    <numFmt numFmtId="218" formatCode="_-&quot;R$&quot;\ * #,##0_-;\-&quot;R$&quot;\ * #,##0_-;_-&quot;R$&quot;\ * &quot;-&quot;??_-;_-@_-"/>
    <numFmt numFmtId="219" formatCode="0.0000000000"/>
    <numFmt numFmtId="220" formatCode="0.000000000"/>
    <numFmt numFmtId="221" formatCode="_(* #,##0.00000_);_(* \(#,##0.00000\);_(* &quot;-&quot;??_);_(@_)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sz val="15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Arial Narrow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b/>
      <sz val="14"/>
      <color indexed="10"/>
      <name val="Arial Narrow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8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Arial Narrow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b/>
      <sz val="14"/>
      <color rgb="FFC00000"/>
      <name val="Arial Narrow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8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Arial Narrow"/>
      <family val="2"/>
    </font>
    <font>
      <b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18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84" fontId="1" fillId="0" borderId="12" xfId="0" applyNumberFormat="1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84" fontId="1" fillId="0" borderId="10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182" fontId="0" fillId="0" borderId="17" xfId="51" applyNumberFormat="1" applyFont="1" applyBorder="1" applyAlignment="1">
      <alignment horizontal="right"/>
    </xf>
    <xf numFmtId="182" fontId="0" fillId="0" borderId="17" xfId="0" applyNumberFormat="1" applyFont="1" applyBorder="1" applyAlignment="1">
      <alignment horizontal="right"/>
    </xf>
    <xf numFmtId="182" fontId="0" fillId="33" borderId="17" xfId="51" applyNumberFormat="1" applyFont="1" applyFill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184" fontId="0" fillId="34" borderId="0" xfId="0" applyNumberFormat="1" applyFont="1" applyFill="1" applyBorder="1" applyAlignment="1">
      <alignment horizontal="right"/>
    </xf>
    <xf numFmtId="18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84" fontId="1" fillId="0" borderId="10" xfId="0" applyNumberFormat="1" applyFont="1" applyBorder="1" applyAlignment="1">
      <alignment horizontal="right"/>
    </xf>
    <xf numFmtId="183" fontId="0" fillId="0" borderId="17" xfId="51" applyNumberFormat="1" applyFont="1" applyBorder="1" applyAlignment="1">
      <alignment horizontal="right"/>
    </xf>
    <xf numFmtId="183" fontId="0" fillId="0" borderId="0" xfId="51" applyNumberFormat="1" applyFont="1" applyBorder="1" applyAlignment="1">
      <alignment horizontal="right"/>
    </xf>
    <xf numFmtId="182" fontId="0" fillId="0" borderId="17" xfId="0" applyNumberFormat="1" applyFont="1" applyBorder="1" applyAlignment="1">
      <alignment/>
    </xf>
    <xf numFmtId="182" fontId="0" fillId="33" borderId="17" xfId="0" applyNumberFormat="1" applyFont="1" applyFill="1" applyBorder="1" applyAlignment="1">
      <alignment/>
    </xf>
    <xf numFmtId="0" fontId="0" fillId="0" borderId="17" xfId="0" applyFont="1" applyBorder="1" applyAlignment="1">
      <alignment horizontal="left"/>
    </xf>
    <xf numFmtId="183" fontId="0" fillId="0" borderId="17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183" fontId="0" fillId="0" borderId="21" xfId="51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2" fontId="0" fillId="0" borderId="17" xfId="51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71" fontId="0" fillId="0" borderId="17" xfId="51" applyFont="1" applyBorder="1" applyAlignment="1">
      <alignment/>
    </xf>
    <xf numFmtId="171" fontId="0" fillId="0" borderId="0" xfId="51" applyFont="1" applyBorder="1" applyAlignment="1">
      <alignment horizontal="right"/>
    </xf>
    <xf numFmtId="171" fontId="0" fillId="0" borderId="17" xfId="51" applyFont="1" applyBorder="1" applyAlignment="1">
      <alignment horizontal="right"/>
    </xf>
    <xf numFmtId="171" fontId="0" fillId="33" borderId="17" xfId="51" applyFont="1" applyFill="1" applyBorder="1" applyAlignment="1">
      <alignment horizontal="right"/>
    </xf>
    <xf numFmtId="183" fontId="0" fillId="0" borderId="17" xfId="51" applyNumberFormat="1" applyFont="1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183" fontId="0" fillId="33" borderId="17" xfId="51" applyNumberFormat="1" applyFont="1" applyFill="1" applyBorder="1" applyAlignment="1">
      <alignment/>
    </xf>
    <xf numFmtId="183" fontId="0" fillId="33" borderId="17" xfId="51" applyNumberFormat="1" applyFont="1" applyFill="1" applyBorder="1" applyAlignment="1">
      <alignment horizontal="right"/>
    </xf>
    <xf numFmtId="37" fontId="0" fillId="0" borderId="0" xfId="51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center"/>
    </xf>
    <xf numFmtId="183" fontId="0" fillId="33" borderId="0" xfId="51" applyNumberFormat="1" applyFont="1" applyFill="1" applyBorder="1" applyAlignment="1">
      <alignment horizontal="right"/>
    </xf>
    <xf numFmtId="185" fontId="5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82" fontId="0" fillId="0" borderId="0" xfId="51" applyNumberFormat="1" applyFont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0" fillId="0" borderId="22" xfId="51" applyNumberFormat="1" applyFont="1" applyBorder="1" applyAlignment="1">
      <alignment horizontal="right"/>
    </xf>
    <xf numFmtId="182" fontId="0" fillId="0" borderId="23" xfId="0" applyNumberFormat="1" applyFont="1" applyBorder="1" applyAlignment="1">
      <alignment horizontal="right"/>
    </xf>
    <xf numFmtId="182" fontId="0" fillId="0" borderId="22" xfId="0" applyNumberFormat="1" applyFont="1" applyBorder="1" applyAlignment="1">
      <alignment horizontal="right"/>
    </xf>
    <xf numFmtId="182" fontId="0" fillId="0" borderId="0" xfId="51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3" fontId="1" fillId="13" borderId="20" xfId="51" applyNumberFormat="1" applyFont="1" applyFill="1" applyBorder="1" applyAlignment="1">
      <alignment horizontal="right"/>
    </xf>
    <xf numFmtId="182" fontId="1" fillId="13" borderId="20" xfId="0" applyNumberFormat="1" applyFont="1" applyFill="1" applyBorder="1" applyAlignment="1">
      <alignment horizontal="right"/>
    </xf>
    <xf numFmtId="183" fontId="1" fillId="35" borderId="10" xfId="51" applyNumberFormat="1" applyFont="1" applyFill="1" applyBorder="1" applyAlignment="1">
      <alignment horizontal="right"/>
    </xf>
    <xf numFmtId="182" fontId="1" fillId="35" borderId="10" xfId="0" applyNumberFormat="1" applyFont="1" applyFill="1" applyBorder="1" applyAlignment="1">
      <alignment horizontal="right"/>
    </xf>
    <xf numFmtId="182" fontId="1" fillId="35" borderId="10" xfId="51" applyNumberFormat="1" applyFont="1" applyFill="1" applyBorder="1" applyAlignment="1">
      <alignment horizontal="right"/>
    </xf>
    <xf numFmtId="183" fontId="1" fillId="35" borderId="12" xfId="51" applyNumberFormat="1" applyFont="1" applyFill="1" applyBorder="1" applyAlignment="1">
      <alignment horizontal="right"/>
    </xf>
    <xf numFmtId="182" fontId="1" fillId="35" borderId="10" xfId="0" applyNumberFormat="1" applyFont="1" applyFill="1" applyBorder="1" applyAlignment="1">
      <alignment/>
    </xf>
    <xf numFmtId="182" fontId="1" fillId="35" borderId="10" xfId="51" applyNumberFormat="1" applyFont="1" applyFill="1" applyBorder="1" applyAlignment="1">
      <alignment/>
    </xf>
    <xf numFmtId="183" fontId="82" fillId="13" borderId="20" xfId="51" applyNumberFormat="1" applyFont="1" applyFill="1" applyBorder="1" applyAlignment="1">
      <alignment horizontal="right"/>
    </xf>
    <xf numFmtId="182" fontId="82" fillId="13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1" fontId="0" fillId="0" borderId="24" xfId="51" applyFont="1" applyFill="1" applyBorder="1" applyAlignment="1">
      <alignment/>
    </xf>
    <xf numFmtId="0" fontId="0" fillId="0" borderId="24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justify"/>
    </xf>
    <xf numFmtId="4" fontId="0" fillId="0" borderId="2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2" fontId="9" fillId="0" borderId="0" xfId="51" applyNumberFormat="1" applyFont="1" applyFill="1" applyAlignment="1">
      <alignment/>
    </xf>
    <xf numFmtId="182" fontId="9" fillId="0" borderId="0" xfId="51" applyNumberFormat="1" applyFont="1" applyAlignment="1">
      <alignment/>
    </xf>
    <xf numFmtId="182" fontId="10" fillId="0" borderId="0" xfId="51" applyNumberFormat="1" applyFont="1" applyAlignment="1">
      <alignment/>
    </xf>
    <xf numFmtId="171" fontId="9" fillId="0" borderId="0" xfId="0" applyNumberFormat="1" applyFont="1" applyAlignment="1">
      <alignment/>
    </xf>
    <xf numFmtId="182" fontId="7" fillId="0" borderId="10" xfId="51" applyNumberFormat="1" applyFont="1" applyFill="1" applyBorder="1" applyAlignment="1">
      <alignment/>
    </xf>
    <xf numFmtId="182" fontId="7" fillId="33" borderId="10" xfId="51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11" fillId="0" borderId="0" xfId="51" applyFont="1" applyFill="1" applyAlignment="1">
      <alignment/>
    </xf>
    <xf numFmtId="182" fontId="11" fillId="0" borderId="0" xfId="51" applyNumberFormat="1" applyFont="1" applyAlignment="1">
      <alignment/>
    </xf>
    <xf numFmtId="195" fontId="9" fillId="0" borderId="0" xfId="0" applyNumberFormat="1" applyFont="1" applyAlignment="1">
      <alignment/>
    </xf>
    <xf numFmtId="182" fontId="11" fillId="0" borderId="17" xfId="51" applyNumberFormat="1" applyFont="1" applyBorder="1" applyAlignment="1">
      <alignment/>
    </xf>
    <xf numFmtId="182" fontId="11" fillId="0" borderId="0" xfId="51" applyNumberFormat="1" applyFont="1" applyFill="1" applyAlignment="1">
      <alignment/>
    </xf>
    <xf numFmtId="196" fontId="9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0" fontId="10" fillId="0" borderId="0" xfId="0" applyFont="1" applyAlignment="1">
      <alignment/>
    </xf>
    <xf numFmtId="198" fontId="10" fillId="0" borderId="0" xfId="0" applyNumberFormat="1" applyFont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20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83" fillId="0" borderId="0" xfId="0" applyFont="1" applyAlignment="1">
      <alignment/>
    </xf>
    <xf numFmtId="194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1" fontId="15" fillId="0" borderId="0" xfId="0" applyNumberFormat="1" applyFont="1" applyAlignment="1">
      <alignment/>
    </xf>
    <xf numFmtId="171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10" fontId="16" fillId="0" borderId="10" xfId="49" applyNumberFormat="1" applyFont="1" applyBorder="1" applyAlignment="1">
      <alignment horizontal="center"/>
    </xf>
    <xf numFmtId="171" fontId="17" fillId="0" borderId="17" xfId="51" applyNumberFormat="1" applyFont="1" applyBorder="1" applyAlignment="1">
      <alignment horizontal="left" indent="1"/>
    </xf>
    <xf numFmtId="171" fontId="17" fillId="0" borderId="17" xfId="51" applyFont="1" applyBorder="1" applyAlignment="1">
      <alignment/>
    </xf>
    <xf numFmtId="0" fontId="17" fillId="0" borderId="17" xfId="0" applyFont="1" applyBorder="1" applyAlignment="1">
      <alignment horizontal="justify"/>
    </xf>
    <xf numFmtId="10" fontId="17" fillId="0" borderId="17" xfId="49" applyNumberFormat="1" applyFont="1" applyBorder="1" applyAlignment="1">
      <alignment horizontal="center"/>
    </xf>
    <xf numFmtId="199" fontId="14" fillId="0" borderId="0" xfId="0" applyNumberFormat="1" applyFont="1" applyAlignment="1">
      <alignment/>
    </xf>
    <xf numFmtId="171" fontId="15" fillId="0" borderId="0" xfId="51" applyNumberFormat="1" applyFont="1" applyBorder="1" applyAlignment="1">
      <alignment horizontal="left" indent="1"/>
    </xf>
    <xf numFmtId="200" fontId="14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201" fontId="22" fillId="0" borderId="0" xfId="0" applyNumberFormat="1" applyFont="1" applyAlignment="1">
      <alignment/>
    </xf>
    <xf numFmtId="201" fontId="21" fillId="37" borderId="10" xfId="0" applyNumberFormat="1" applyFont="1" applyFill="1" applyBorder="1" applyAlignment="1">
      <alignment horizontal="center"/>
    </xf>
    <xf numFmtId="0" fontId="21" fillId="37" borderId="25" xfId="0" applyFont="1" applyFill="1" applyBorder="1" applyAlignment="1">
      <alignment horizontal="center"/>
    </xf>
    <xf numFmtId="182" fontId="23" fillId="0" borderId="0" xfId="51" applyNumberFormat="1" applyFont="1" applyFill="1" applyAlignment="1">
      <alignment/>
    </xf>
    <xf numFmtId="182" fontId="23" fillId="13" borderId="0" xfId="51" applyNumberFormat="1" applyFont="1" applyFill="1" applyAlignment="1">
      <alignment/>
    </xf>
    <xf numFmtId="182" fontId="23" fillId="0" borderId="0" xfId="51" applyNumberFormat="1" applyFont="1" applyAlignment="1">
      <alignment/>
    </xf>
    <xf numFmtId="201" fontId="23" fillId="0" borderId="0" xfId="0" applyNumberFormat="1" applyFont="1" applyFill="1" applyBorder="1" applyAlignment="1">
      <alignment horizontal="center"/>
    </xf>
    <xf numFmtId="201" fontId="23" fillId="38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2" fontId="23" fillId="39" borderId="0" xfId="51" applyNumberFormat="1" applyFont="1" applyFill="1" applyAlignment="1">
      <alignment/>
    </xf>
    <xf numFmtId="201" fontId="23" fillId="13" borderId="0" xfId="0" applyNumberFormat="1" applyFont="1" applyFill="1" applyBorder="1" applyAlignment="1">
      <alignment horizontal="center"/>
    </xf>
    <xf numFmtId="185" fontId="23" fillId="13" borderId="0" xfId="0" applyNumberFormat="1" applyFont="1" applyFill="1" applyBorder="1" applyAlignment="1">
      <alignment horizontal="center"/>
    </xf>
    <xf numFmtId="185" fontId="23" fillId="40" borderId="0" xfId="0" applyNumberFormat="1" applyFont="1" applyFill="1" applyBorder="1" applyAlignment="1">
      <alignment horizontal="center"/>
    </xf>
    <xf numFmtId="185" fontId="23" fillId="0" borderId="0" xfId="0" applyNumberFormat="1" applyFont="1" applyFill="1" applyBorder="1" applyAlignment="1">
      <alignment horizontal="center"/>
    </xf>
    <xf numFmtId="182" fontId="23" fillId="38" borderId="0" xfId="51" applyNumberFormat="1" applyFont="1" applyFill="1" applyAlignment="1">
      <alignment/>
    </xf>
    <xf numFmtId="201" fontId="23" fillId="39" borderId="0" xfId="0" applyNumberFormat="1" applyFont="1" applyFill="1" applyBorder="1" applyAlignment="1">
      <alignment horizontal="center"/>
    </xf>
    <xf numFmtId="182" fontId="23" fillId="0" borderId="0" xfId="51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7" borderId="2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82" fontId="5" fillId="0" borderId="0" xfId="51" applyNumberFormat="1" applyFont="1" applyAlignment="1">
      <alignment/>
    </xf>
    <xf numFmtId="182" fontId="11" fillId="0" borderId="10" xfId="51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171" fontId="11" fillId="0" borderId="10" xfId="51" applyFont="1" applyFill="1" applyBorder="1" applyAlignment="1">
      <alignment horizontal="right"/>
    </xf>
    <xf numFmtId="0" fontId="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left"/>
    </xf>
    <xf numFmtId="4" fontId="24" fillId="35" borderId="10" xfId="0" applyNumberFormat="1" applyFont="1" applyFill="1" applyBorder="1" applyAlignment="1">
      <alignment/>
    </xf>
    <xf numFmtId="0" fontId="24" fillId="35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16" borderId="23" xfId="0" applyNumberFormat="1" applyFont="1" applyFill="1" applyBorder="1" applyAlignment="1">
      <alignment horizontal="center"/>
    </xf>
    <xf numFmtId="4" fontId="20" fillId="16" borderId="17" xfId="0" applyNumberFormat="1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4" fontId="20" fillId="16" borderId="14" xfId="0" applyNumberFormat="1" applyFont="1" applyFill="1" applyBorder="1" applyAlignment="1">
      <alignment horizontal="center"/>
    </xf>
    <xf numFmtId="4" fontId="20" fillId="16" borderId="21" xfId="0" applyNumberFormat="1" applyFont="1" applyFill="1" applyBorder="1" applyAlignment="1">
      <alignment horizontal="center"/>
    </xf>
    <xf numFmtId="0" fontId="20" fillId="16" borderId="21" xfId="0" applyFont="1" applyFill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4" fillId="35" borderId="15" xfId="0" applyFont="1" applyFill="1" applyBorder="1" applyAlignment="1">
      <alignment horizontal="right"/>
    </xf>
    <xf numFmtId="4" fontId="20" fillId="16" borderId="20" xfId="0" applyNumberFormat="1" applyFont="1" applyFill="1" applyBorder="1" applyAlignment="1">
      <alignment horizontal="center"/>
    </xf>
    <xf numFmtId="0" fontId="20" fillId="16" borderId="20" xfId="0" applyFont="1" applyFill="1" applyBorder="1" applyAlignment="1">
      <alignment horizontal="center"/>
    </xf>
    <xf numFmtId="4" fontId="0" fillId="0" borderId="0" xfId="0" applyNumberFormat="1" applyAlignment="1">
      <alignment/>
    </xf>
    <xf numFmtId="201" fontId="0" fillId="0" borderId="0" xfId="0" applyNumberFormat="1" applyFont="1" applyAlignment="1">
      <alignment/>
    </xf>
    <xf numFmtId="0" fontId="81" fillId="0" borderId="0" xfId="0" applyFont="1" applyAlignment="1">
      <alignment/>
    </xf>
    <xf numFmtId="187" fontId="0" fillId="0" borderId="0" xfId="0" applyNumberFormat="1" applyAlignment="1">
      <alignment/>
    </xf>
    <xf numFmtId="0" fontId="84" fillId="0" borderId="0" xfId="0" applyFont="1" applyAlignment="1">
      <alignment/>
    </xf>
    <xf numFmtId="0" fontId="81" fillId="7" borderId="27" xfId="0" applyFont="1" applyFill="1" applyBorder="1" applyAlignment="1">
      <alignment/>
    </xf>
    <xf numFmtId="0" fontId="85" fillId="0" borderId="0" xfId="0" applyFont="1" applyAlignment="1">
      <alignment/>
    </xf>
    <xf numFmtId="0" fontId="81" fillId="39" borderId="0" xfId="0" applyFont="1" applyFill="1" applyBorder="1" applyAlignment="1">
      <alignment horizontal="center"/>
    </xf>
    <xf numFmtId="185" fontId="54" fillId="2" borderId="10" xfId="0" applyNumberFormat="1" applyFont="1" applyFill="1" applyBorder="1" applyAlignment="1">
      <alignment/>
    </xf>
    <xf numFmtId="0" fontId="27" fillId="2" borderId="10" xfId="0" applyFont="1" applyFill="1" applyBorder="1" applyAlignment="1">
      <alignment/>
    </xf>
    <xf numFmtId="185" fontId="54" fillId="13" borderId="10" xfId="0" applyNumberFormat="1" applyFont="1" applyFill="1" applyBorder="1" applyAlignment="1">
      <alignment/>
    </xf>
    <xf numFmtId="0" fontId="27" fillId="13" borderId="10" xfId="0" applyFont="1" applyFill="1" applyBorder="1" applyAlignment="1">
      <alignment/>
    </xf>
    <xf numFmtId="185" fontId="0" fillId="0" borderId="0" xfId="0" applyNumberFormat="1" applyAlignment="1">
      <alignment/>
    </xf>
    <xf numFmtId="0" fontId="10" fillId="7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184" fontId="27" fillId="7" borderId="20" xfId="0" applyNumberFormat="1" applyFont="1" applyFill="1" applyBorder="1" applyAlignment="1">
      <alignment/>
    </xf>
    <xf numFmtId="171" fontId="65" fillId="0" borderId="0" xfId="51" applyFon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81" fillId="4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182" fontId="28" fillId="0" borderId="0" xfId="51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203" fontId="0" fillId="0" borderId="0" xfId="0" applyNumberFormat="1" applyAlignment="1">
      <alignment/>
    </xf>
    <xf numFmtId="4" fontId="86" fillId="41" borderId="10" xfId="0" applyNumberFormat="1" applyFont="1" applyFill="1" applyBorder="1" applyAlignment="1">
      <alignment/>
    </xf>
    <xf numFmtId="0" fontId="27" fillId="41" borderId="10" xfId="0" applyFont="1" applyFill="1" applyBorder="1" applyAlignment="1">
      <alignment/>
    </xf>
    <xf numFmtId="4" fontId="27" fillId="4" borderId="10" xfId="0" applyNumberFormat="1" applyFont="1" applyFill="1" applyBorder="1" applyAlignment="1">
      <alignment/>
    </xf>
    <xf numFmtId="0" fontId="10" fillId="4" borderId="10" xfId="0" applyFont="1" applyFill="1" applyBorder="1" applyAlignment="1">
      <alignment/>
    </xf>
    <xf numFmtId="171" fontId="28" fillId="0" borderId="10" xfId="51" applyNumberFormat="1" applyFont="1" applyBorder="1" applyAlignment="1">
      <alignment/>
    </xf>
    <xf numFmtId="171" fontId="28" fillId="0" borderId="10" xfId="51" applyFont="1" applyBorder="1" applyAlignment="1">
      <alignment horizontal="center"/>
    </xf>
    <xf numFmtId="44" fontId="87" fillId="16" borderId="10" xfId="0" applyNumberFormat="1" applyFont="1" applyFill="1" applyBorder="1" applyAlignment="1">
      <alignment/>
    </xf>
    <xf numFmtId="0" fontId="87" fillId="16" borderId="10" xfId="0" applyFont="1" applyFill="1" applyBorder="1" applyAlignment="1">
      <alignment horizontal="right"/>
    </xf>
    <xf numFmtId="44" fontId="87" fillId="7" borderId="15" xfId="45" applyNumberFormat="1" applyFont="1" applyFill="1" applyBorder="1" applyAlignment="1">
      <alignment/>
    </xf>
    <xf numFmtId="0" fontId="85" fillId="7" borderId="10" xfId="0" applyFont="1" applyFill="1" applyBorder="1" applyAlignment="1">
      <alignment/>
    </xf>
    <xf numFmtId="0" fontId="88" fillId="0" borderId="10" xfId="0" applyFont="1" applyBorder="1" applyAlignment="1">
      <alignment horizontal="center"/>
    </xf>
    <xf numFmtId="204" fontId="87" fillId="16" borderId="10" xfId="51" applyNumberFormat="1" applyFont="1" applyFill="1" applyBorder="1" applyAlignment="1">
      <alignment/>
    </xf>
    <xf numFmtId="205" fontId="85" fillId="0" borderId="0" xfId="51" applyNumberFormat="1" applyFont="1" applyAlignment="1">
      <alignment/>
    </xf>
    <xf numFmtId="0" fontId="85" fillId="7" borderId="19" xfId="0" applyFont="1" applyFill="1" applyBorder="1" applyAlignment="1">
      <alignment horizontal="center"/>
    </xf>
    <xf numFmtId="204" fontId="85" fillId="7" borderId="18" xfId="51" applyNumberFormat="1" applyFont="1" applyFill="1" applyBorder="1" applyAlignment="1">
      <alignment/>
    </xf>
    <xf numFmtId="0" fontId="85" fillId="7" borderId="20" xfId="0" applyFont="1" applyFill="1" applyBorder="1" applyAlignment="1">
      <alignment/>
    </xf>
    <xf numFmtId="0" fontId="85" fillId="0" borderId="22" xfId="0" applyFont="1" applyFill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85" fillId="0" borderId="17" xfId="0" applyFont="1" applyBorder="1" applyAlignment="1">
      <alignment/>
    </xf>
    <xf numFmtId="0" fontId="85" fillId="7" borderId="22" xfId="0" applyFont="1" applyFill="1" applyBorder="1" applyAlignment="1">
      <alignment horizontal="center"/>
    </xf>
    <xf numFmtId="0" fontId="85" fillId="7" borderId="17" xfId="0" applyFont="1" applyFill="1" applyBorder="1" applyAlignment="1">
      <alignment/>
    </xf>
    <xf numFmtId="206" fontId="85" fillId="0" borderId="0" xfId="51" applyNumberFormat="1" applyFont="1" applyFill="1" applyBorder="1" applyAlignment="1">
      <alignment horizontal="right"/>
    </xf>
    <xf numFmtId="0" fontId="85" fillId="7" borderId="13" xfId="0" applyFont="1" applyFill="1" applyBorder="1" applyAlignment="1">
      <alignment horizontal="center"/>
    </xf>
    <xf numFmtId="206" fontId="85" fillId="7" borderId="11" xfId="51" applyNumberFormat="1" applyFont="1" applyFill="1" applyBorder="1" applyAlignment="1">
      <alignment/>
    </xf>
    <xf numFmtId="205" fontId="85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Font="1" applyAlignment="1">
      <alignment/>
    </xf>
    <xf numFmtId="17" fontId="86" fillId="0" borderId="0" xfId="0" applyNumberFormat="1" applyFont="1" applyFill="1" applyAlignment="1">
      <alignment/>
    </xf>
    <xf numFmtId="182" fontId="0" fillId="0" borderId="0" xfId="51" applyNumberFormat="1" applyFont="1" applyAlignment="1">
      <alignment/>
    </xf>
    <xf numFmtId="0" fontId="1" fillId="0" borderId="0" xfId="0" applyFont="1" applyAlignment="1">
      <alignment/>
    </xf>
    <xf numFmtId="195" fontId="85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199" fontId="0" fillId="0" borderId="0" xfId="51" applyNumberFormat="1" applyFont="1" applyAlignment="1">
      <alignment/>
    </xf>
    <xf numFmtId="211" fontId="0" fillId="0" borderId="0" xfId="0" applyNumberFormat="1" applyAlignment="1">
      <alignment/>
    </xf>
    <xf numFmtId="10" fontId="27" fillId="0" borderId="20" xfId="0" applyNumberFormat="1" applyFont="1" applyBorder="1" applyAlignment="1">
      <alignment/>
    </xf>
    <xf numFmtId="206" fontId="85" fillId="7" borderId="14" xfId="51" applyNumberFormat="1" applyFont="1" applyFill="1" applyBorder="1" applyAlignment="1">
      <alignment horizontal="center"/>
    </xf>
    <xf numFmtId="206" fontId="85" fillId="0" borderId="23" xfId="51" applyNumberFormat="1" applyFont="1" applyBorder="1" applyAlignment="1">
      <alignment horizontal="center"/>
    </xf>
    <xf numFmtId="43" fontId="85" fillId="7" borderId="23" xfId="51" applyNumberFormat="1" applyFont="1" applyFill="1" applyBorder="1" applyAlignment="1">
      <alignment horizontal="center"/>
    </xf>
    <xf numFmtId="43" fontId="85" fillId="0" borderId="23" xfId="51" applyNumberFormat="1" applyFont="1" applyBorder="1" applyAlignment="1">
      <alignment horizontal="center"/>
    </xf>
    <xf numFmtId="204" fontId="87" fillId="7" borderId="28" xfId="51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99" fontId="14" fillId="0" borderId="0" xfId="51" applyNumberFormat="1" applyFont="1" applyAlignment="1">
      <alignment/>
    </xf>
    <xf numFmtId="195" fontId="14" fillId="0" borderId="0" xfId="0" applyNumberFormat="1" applyFont="1" applyAlignment="1">
      <alignment/>
    </xf>
    <xf numFmtId="10" fontId="17" fillId="0" borderId="17" xfId="51" applyNumberFormat="1" applyFont="1" applyBorder="1" applyAlignment="1">
      <alignment horizontal="center"/>
    </xf>
    <xf numFmtId="171" fontId="0" fillId="0" borderId="0" xfId="51" applyFont="1" applyFill="1" applyBorder="1" applyAlignment="1">
      <alignment/>
    </xf>
    <xf numFmtId="171" fontId="84" fillId="0" borderId="0" xfId="51" applyFont="1" applyAlignment="1">
      <alignment/>
    </xf>
    <xf numFmtId="183" fontId="0" fillId="0" borderId="0" xfId="0" applyNumberFormat="1" applyFont="1" applyBorder="1" applyAlignment="1">
      <alignment/>
    </xf>
    <xf numFmtId="182" fontId="0" fillId="0" borderId="17" xfId="51" applyNumberFormat="1" applyFont="1" applyFill="1" applyBorder="1" applyAlignment="1">
      <alignment horizontal="right"/>
    </xf>
    <xf numFmtId="183" fontId="0" fillId="0" borderId="0" xfId="51" applyNumberFormat="1" applyFont="1" applyFill="1" applyBorder="1" applyAlignment="1">
      <alignment horizontal="right"/>
    </xf>
    <xf numFmtId="187" fontId="5" fillId="0" borderId="0" xfId="0" applyNumberFormat="1" applyFont="1" applyBorder="1" applyAlignment="1">
      <alignment/>
    </xf>
    <xf numFmtId="182" fontId="0" fillId="39" borderId="17" xfId="51" applyNumberFormat="1" applyFont="1" applyFill="1" applyBorder="1" applyAlignment="1">
      <alignment horizontal="right"/>
    </xf>
    <xf numFmtId="0" fontId="20" fillId="39" borderId="10" xfId="0" applyFont="1" applyFill="1" applyBorder="1" applyAlignment="1">
      <alignment horizontal="left"/>
    </xf>
    <xf numFmtId="0" fontId="20" fillId="39" borderId="15" xfId="0" applyFont="1" applyFill="1" applyBorder="1" applyAlignment="1">
      <alignment horizontal="center"/>
    </xf>
    <xf numFmtId="0" fontId="85" fillId="39" borderId="22" xfId="0" applyFont="1" applyFill="1" applyBorder="1" applyAlignment="1">
      <alignment horizontal="center"/>
    </xf>
    <xf numFmtId="2" fontId="85" fillId="0" borderId="0" xfId="0" applyNumberFormat="1" applyFont="1" applyAlignment="1">
      <alignment/>
    </xf>
    <xf numFmtId="193" fontId="0" fillId="0" borderId="0" xfId="0" applyNumberFormat="1" applyFont="1" applyBorder="1" applyAlignment="1">
      <alignment/>
    </xf>
    <xf numFmtId="182" fontId="11" fillId="0" borderId="0" xfId="51" applyNumberFormat="1" applyFont="1" applyBorder="1" applyAlignment="1">
      <alignment/>
    </xf>
    <xf numFmtId="10" fontId="27" fillId="0" borderId="20" xfId="0" applyNumberFormat="1" applyFont="1" applyBorder="1" applyAlignment="1">
      <alignment horizontal="right"/>
    </xf>
    <xf numFmtId="182" fontId="0" fillId="39" borderId="17" xfId="0" applyNumberFormat="1" applyFont="1" applyFill="1" applyBorder="1" applyAlignment="1">
      <alignment/>
    </xf>
    <xf numFmtId="182" fontId="0" fillId="39" borderId="17" xfId="0" applyNumberFormat="1" applyFont="1" applyFill="1" applyBorder="1" applyAlignment="1">
      <alignment horizontal="right"/>
    </xf>
    <xf numFmtId="171" fontId="0" fillId="39" borderId="0" xfId="51" applyFont="1" applyFill="1" applyBorder="1" applyAlignment="1">
      <alignment horizontal="right"/>
    </xf>
    <xf numFmtId="183" fontId="0" fillId="39" borderId="0" xfId="51" applyNumberFormat="1" applyFont="1" applyFill="1" applyBorder="1" applyAlignment="1">
      <alignment horizontal="right"/>
    </xf>
    <xf numFmtId="183" fontId="0" fillId="39" borderId="17" xfId="51" applyNumberFormat="1" applyFont="1" applyFill="1" applyBorder="1" applyAlignment="1">
      <alignment/>
    </xf>
    <xf numFmtId="208" fontId="11" fillId="0" borderId="0" xfId="0" applyNumberFormat="1" applyFont="1" applyAlignment="1">
      <alignment/>
    </xf>
    <xf numFmtId="0" fontId="87" fillId="16" borderId="10" xfId="0" applyFont="1" applyFill="1" applyBorder="1" applyAlignment="1">
      <alignment/>
    </xf>
    <xf numFmtId="216" fontId="87" fillId="16" borderId="10" xfId="0" applyNumberFormat="1" applyFont="1" applyFill="1" applyBorder="1" applyAlignment="1">
      <alignment/>
    </xf>
    <xf numFmtId="0" fontId="1" fillId="42" borderId="24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24" xfId="0" applyFont="1" applyFill="1" applyBorder="1" applyAlignment="1">
      <alignment horizontal="center"/>
    </xf>
    <xf numFmtId="182" fontId="21" fillId="0" borderId="10" xfId="51" applyNumberFormat="1" applyFont="1" applyBorder="1" applyAlignment="1">
      <alignment/>
    </xf>
    <xf numFmtId="10" fontId="7" fillId="0" borderId="17" xfId="49" applyNumberFormat="1" applyFont="1" applyFill="1" applyBorder="1" applyAlignment="1">
      <alignment horizontal="right"/>
    </xf>
    <xf numFmtId="0" fontId="17" fillId="0" borderId="21" xfId="0" applyFont="1" applyBorder="1" applyAlignment="1">
      <alignment/>
    </xf>
    <xf numFmtId="171" fontId="28" fillId="0" borderId="24" xfId="51" applyFont="1" applyFill="1" applyBorder="1" applyAlignment="1">
      <alignment/>
    </xf>
    <xf numFmtId="180" fontId="76" fillId="39" borderId="0" xfId="54" applyNumberFormat="1" applyFill="1" applyBorder="1" applyAlignment="1">
      <alignment/>
    </xf>
    <xf numFmtId="182" fontId="23" fillId="38" borderId="0" xfId="51" applyNumberFormat="1" applyFont="1" applyFill="1" applyBorder="1" applyAlignment="1">
      <alignment horizontal="center"/>
    </xf>
    <xf numFmtId="182" fontId="11" fillId="0" borderId="10" xfId="51" applyNumberFormat="1" applyFont="1" applyFill="1" applyBorder="1" applyAlignment="1">
      <alignment/>
    </xf>
    <xf numFmtId="182" fontId="28" fillId="0" borderId="10" xfId="51" applyNumberFormat="1" applyFont="1" applyBorder="1" applyAlignment="1">
      <alignment/>
    </xf>
    <xf numFmtId="182" fontId="27" fillId="7" borderId="10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183" fontId="87" fillId="16" borderId="10" xfId="51" applyNumberFormat="1" applyFont="1" applyFill="1" applyBorder="1" applyAlignment="1">
      <alignment/>
    </xf>
    <xf numFmtId="185" fontId="7" fillId="19" borderId="17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182" fontId="7" fillId="19" borderId="17" xfId="51" applyNumberFormat="1" applyFont="1" applyFill="1" applyBorder="1" applyAlignment="1">
      <alignment/>
    </xf>
    <xf numFmtId="182" fontId="7" fillId="19" borderId="17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71" fontId="28" fillId="0" borderId="10" xfId="51" applyFont="1" applyBorder="1" applyAlignment="1">
      <alignment/>
    </xf>
    <xf numFmtId="0" fontId="16" fillId="0" borderId="10" xfId="0" applyFont="1" applyBorder="1" applyAlignment="1">
      <alignment/>
    </xf>
    <xf numFmtId="205" fontId="14" fillId="0" borderId="0" xfId="0" applyNumberFormat="1" applyFont="1" applyAlignment="1">
      <alignment/>
    </xf>
    <xf numFmtId="182" fontId="87" fillId="7" borderId="15" xfId="51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43" fontId="85" fillId="0" borderId="0" xfId="0" applyNumberFormat="1" applyFont="1" applyAlignment="1">
      <alignment/>
    </xf>
    <xf numFmtId="171" fontId="0" fillId="39" borderId="17" xfId="51" applyFont="1" applyFill="1" applyBorder="1" applyAlignment="1">
      <alignment horizontal="right"/>
    </xf>
    <xf numFmtId="183" fontId="0" fillId="39" borderId="17" xfId="51" applyNumberFormat="1" applyFont="1" applyFill="1" applyBorder="1" applyAlignment="1">
      <alignment horizontal="right"/>
    </xf>
    <xf numFmtId="182" fontId="0" fillId="39" borderId="22" xfId="51" applyNumberFormat="1" applyFont="1" applyFill="1" applyBorder="1" applyAlignment="1">
      <alignment horizontal="right"/>
    </xf>
    <xf numFmtId="183" fontId="0" fillId="39" borderId="21" xfId="51" applyNumberFormat="1" applyFont="1" applyFill="1" applyBorder="1" applyAlignment="1">
      <alignment horizontal="right"/>
    </xf>
    <xf numFmtId="182" fontId="0" fillId="39" borderId="23" xfId="0" applyNumberFormat="1" applyFont="1" applyFill="1" applyBorder="1" applyAlignment="1">
      <alignment horizontal="right"/>
    </xf>
    <xf numFmtId="182" fontId="0" fillId="39" borderId="17" xfId="51" applyNumberFormat="1" applyFont="1" applyFill="1" applyBorder="1" applyAlignment="1">
      <alignment/>
    </xf>
    <xf numFmtId="182" fontId="0" fillId="39" borderId="22" xfId="0" applyNumberFormat="1" applyFont="1" applyFill="1" applyBorder="1" applyAlignment="1">
      <alignment horizontal="right"/>
    </xf>
    <xf numFmtId="183" fontId="0" fillId="39" borderId="17" xfId="0" applyNumberFormat="1" applyFont="1" applyFill="1" applyBorder="1" applyAlignment="1">
      <alignment/>
    </xf>
    <xf numFmtId="171" fontId="0" fillId="39" borderId="17" xfId="51" applyFont="1" applyFill="1" applyBorder="1" applyAlignment="1">
      <alignment/>
    </xf>
    <xf numFmtId="182" fontId="0" fillId="39" borderId="0" xfId="0" applyNumberFormat="1" applyFont="1" applyFill="1" applyBorder="1" applyAlignment="1">
      <alignment/>
    </xf>
    <xf numFmtId="4" fontId="12" fillId="16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10" fontId="7" fillId="0" borderId="17" xfId="51" applyNumberFormat="1" applyFont="1" applyFill="1" applyBorder="1" applyAlignment="1">
      <alignment horizontal="right"/>
    </xf>
    <xf numFmtId="10" fontId="7" fillId="0" borderId="17" xfId="49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208" fontId="85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203" fontId="0" fillId="0" borderId="0" xfId="45" applyNumberFormat="1" applyFont="1" applyAlignment="1">
      <alignment/>
    </xf>
    <xf numFmtId="171" fontId="11" fillId="0" borderId="0" xfId="51" applyFont="1" applyAlignment="1">
      <alignment/>
    </xf>
    <xf numFmtId="171" fontId="58" fillId="0" borderId="22" xfId="51" applyFont="1" applyBorder="1" applyAlignment="1">
      <alignment/>
    </xf>
    <xf numFmtId="39" fontId="29" fillId="36" borderId="0" xfId="0" applyNumberFormat="1" applyFont="1" applyFill="1" applyAlignment="1">
      <alignment horizontal="center"/>
    </xf>
    <xf numFmtId="182" fontId="11" fillId="0" borderId="20" xfId="51" applyNumberFormat="1" applyFont="1" applyBorder="1" applyAlignment="1">
      <alignment/>
    </xf>
    <xf numFmtId="182" fontId="7" fillId="19" borderId="20" xfId="51" applyNumberFormat="1" applyFont="1" applyFill="1" applyBorder="1" applyAlignment="1">
      <alignment/>
    </xf>
    <xf numFmtId="10" fontId="7" fillId="43" borderId="17" xfId="49" applyNumberFormat="1" applyFont="1" applyFill="1" applyBorder="1" applyAlignment="1">
      <alignment/>
    </xf>
    <xf numFmtId="171" fontId="17" fillId="0" borderId="20" xfId="51" applyFont="1" applyBorder="1" applyAlignment="1">
      <alignment/>
    </xf>
    <xf numFmtId="171" fontId="17" fillId="0" borderId="21" xfId="51" applyFont="1" applyBorder="1" applyAlignment="1">
      <alignment/>
    </xf>
    <xf numFmtId="171" fontId="16" fillId="0" borderId="10" xfId="51" applyFont="1" applyBorder="1" applyAlignment="1">
      <alignment/>
    </xf>
    <xf numFmtId="195" fontId="23" fillId="0" borderId="0" xfId="0" applyNumberFormat="1" applyFont="1" applyAlignment="1">
      <alignment/>
    </xf>
    <xf numFmtId="171" fontId="30" fillId="0" borderId="0" xfId="0" applyNumberFormat="1" applyFont="1" applyAlignment="1">
      <alignment/>
    </xf>
    <xf numFmtId="0" fontId="89" fillId="0" borderId="0" xfId="0" applyFont="1" applyAlignment="1">
      <alignment/>
    </xf>
    <xf numFmtId="0" fontId="85" fillId="7" borderId="16" xfId="0" applyFont="1" applyFill="1" applyBorder="1" applyAlignment="1">
      <alignment horizontal="center"/>
    </xf>
    <xf numFmtId="171" fontId="58" fillId="7" borderId="22" xfId="51" applyFont="1" applyFill="1" applyBorder="1" applyAlignment="1">
      <alignment/>
    </xf>
    <xf numFmtId="171" fontId="58" fillId="7" borderId="19" xfId="51" applyFont="1" applyFill="1" applyBorder="1" applyAlignment="1">
      <alignment/>
    </xf>
    <xf numFmtId="171" fontId="12" fillId="42" borderId="24" xfId="51" applyFont="1" applyFill="1" applyBorder="1" applyAlignment="1">
      <alignment/>
    </xf>
    <xf numFmtId="171" fontId="12" fillId="42" borderId="10" xfId="0" applyNumberFormat="1" applyFont="1" applyFill="1" applyBorder="1" applyAlignment="1">
      <alignment/>
    </xf>
    <xf numFmtId="171" fontId="12" fillId="42" borderId="24" xfId="51" applyFont="1" applyFill="1" applyBorder="1" applyAlignment="1">
      <alignment horizontal="right"/>
    </xf>
    <xf numFmtId="171" fontId="10" fillId="0" borderId="24" xfId="51" applyFont="1" applyFill="1" applyBorder="1" applyAlignment="1">
      <alignment/>
    </xf>
    <xf numFmtId="0" fontId="10" fillId="0" borderId="0" xfId="0" applyFont="1" applyFill="1" applyAlignment="1">
      <alignment/>
    </xf>
    <xf numFmtId="203" fontId="30" fillId="0" borderId="0" xfId="0" applyNumberFormat="1" applyFont="1" applyAlignment="1">
      <alignment/>
    </xf>
    <xf numFmtId="203" fontId="9" fillId="0" borderId="0" xfId="45" applyNumberFormat="1" applyFont="1" applyAlignment="1">
      <alignment/>
    </xf>
    <xf numFmtId="0" fontId="0" fillId="0" borderId="17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2" fontId="30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209" fontId="14" fillId="0" borderId="0" xfId="0" applyNumberFormat="1" applyFont="1" applyAlignment="1">
      <alignment/>
    </xf>
    <xf numFmtId="195" fontId="10" fillId="0" borderId="0" xfId="0" applyNumberFormat="1" applyFont="1" applyAlignment="1">
      <alignment/>
    </xf>
    <xf numFmtId="211" fontId="84" fillId="0" borderId="0" xfId="0" applyNumberFormat="1" applyFont="1" applyAlignment="1">
      <alignment/>
    </xf>
    <xf numFmtId="0" fontId="20" fillId="0" borderId="15" xfId="0" applyFont="1" applyBorder="1" applyAlignment="1">
      <alignment horizontal="center"/>
    </xf>
    <xf numFmtId="199" fontId="32" fillId="0" borderId="0" xfId="51" applyNumberFormat="1" applyFont="1" applyAlignment="1">
      <alignment/>
    </xf>
    <xf numFmtId="0" fontId="0" fillId="0" borderId="22" xfId="0" applyFont="1" applyBorder="1" applyAlignment="1">
      <alignment horizontal="justify"/>
    </xf>
    <xf numFmtId="4" fontId="12" fillId="39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0" fontId="10" fillId="39" borderId="0" xfId="0" applyFont="1" applyFill="1" applyAlignment="1">
      <alignment/>
    </xf>
    <xf numFmtId="171" fontId="85" fillId="7" borderId="0" xfId="51" applyFont="1" applyFill="1" applyAlignment="1">
      <alignment/>
    </xf>
    <xf numFmtId="171" fontId="85" fillId="0" borderId="0" xfId="51" applyFont="1" applyAlignment="1">
      <alignment/>
    </xf>
    <xf numFmtId="171" fontId="85" fillId="7" borderId="15" xfId="51" applyFont="1" applyFill="1" applyBorder="1" applyAlignment="1">
      <alignment/>
    </xf>
    <xf numFmtId="171" fontId="58" fillId="7" borderId="10" xfId="51" applyFont="1" applyFill="1" applyBorder="1" applyAlignment="1">
      <alignment/>
    </xf>
    <xf numFmtId="0" fontId="90" fillId="0" borderId="0" xfId="0" applyFont="1" applyAlignment="1">
      <alignment/>
    </xf>
    <xf numFmtId="221" fontId="84" fillId="0" borderId="0" xfId="51" applyNumberFormat="1" applyFont="1" applyAlignment="1">
      <alignment/>
    </xf>
    <xf numFmtId="187" fontId="91" fillId="0" borderId="0" xfId="0" applyNumberFormat="1" applyFont="1" applyAlignment="1">
      <alignment/>
    </xf>
    <xf numFmtId="4" fontId="10" fillId="39" borderId="10" xfId="0" applyNumberFormat="1" applyFont="1" applyFill="1" applyBorder="1" applyAlignment="1">
      <alignment/>
    </xf>
    <xf numFmtId="0" fontId="88" fillId="0" borderId="16" xfId="0" applyFont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87" fillId="16" borderId="0" xfId="0" applyNumberFormat="1" applyFont="1" applyFill="1" applyAlignment="1">
      <alignment horizontal="center"/>
    </xf>
    <xf numFmtId="0" fontId="88" fillId="0" borderId="12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1" fillId="0" borderId="0" xfId="0" applyFont="1" applyAlignment="1">
      <alignment horizontal="center"/>
    </xf>
    <xf numFmtId="0" fontId="21" fillId="37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11" fillId="4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82" fontId="93" fillId="0" borderId="0" xfId="51" applyNumberFormat="1" applyFont="1" applyFill="1" applyBorder="1" applyAlignment="1">
      <alignment/>
    </xf>
    <xf numFmtId="0" fontId="21" fillId="37" borderId="22" xfId="0" applyFont="1" applyFill="1" applyBorder="1" applyAlignment="1">
      <alignment horizontal="center"/>
    </xf>
    <xf numFmtId="0" fontId="21" fillId="37" borderId="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194" fontId="10" fillId="0" borderId="0" xfId="51" applyNumberFormat="1" applyFont="1" applyAlignment="1">
      <alignment horizontal="center"/>
    </xf>
    <xf numFmtId="182" fontId="10" fillId="0" borderId="0" xfId="5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4" fontId="10" fillId="0" borderId="0" xfId="51" applyNumberFormat="1" applyFont="1" applyAlignment="1">
      <alignment horizontal="center"/>
    </xf>
    <xf numFmtId="0" fontId="81" fillId="13" borderId="25" xfId="0" applyFont="1" applyFill="1" applyBorder="1" applyAlignment="1">
      <alignment horizontal="center"/>
    </xf>
    <xf numFmtId="0" fontId="81" fillId="13" borderId="32" xfId="0" applyFont="1" applyFill="1" applyBorder="1" applyAlignment="1">
      <alignment horizontal="center"/>
    </xf>
    <xf numFmtId="0" fontId="81" fillId="13" borderId="33" xfId="0" applyFont="1" applyFill="1" applyBorder="1" applyAlignment="1">
      <alignment horizontal="center"/>
    </xf>
    <xf numFmtId="0" fontId="87" fillId="7" borderId="34" xfId="0" applyFont="1" applyFill="1" applyBorder="1" applyAlignment="1">
      <alignment horizontal="center"/>
    </xf>
    <xf numFmtId="0" fontId="87" fillId="7" borderId="35" xfId="0" applyFont="1" applyFill="1" applyBorder="1" applyAlignment="1">
      <alignment horizontal="center"/>
    </xf>
    <xf numFmtId="182" fontId="84" fillId="0" borderId="16" xfId="51" applyNumberFormat="1" applyFont="1" applyBorder="1" applyAlignment="1">
      <alignment horizontal="center"/>
    </xf>
    <xf numFmtId="182" fontId="84" fillId="0" borderId="15" xfId="51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81" fillId="13" borderId="10" xfId="0" applyFont="1" applyFill="1" applyBorder="1" applyAlignment="1">
      <alignment horizontal="center"/>
    </xf>
    <xf numFmtId="0" fontId="94" fillId="7" borderId="25" xfId="0" applyFont="1" applyFill="1" applyBorder="1" applyAlignment="1">
      <alignment horizontal="center"/>
    </xf>
    <xf numFmtId="0" fontId="94" fillId="7" borderId="3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1" fillId="41" borderId="25" xfId="0" applyFont="1" applyFill="1" applyBorder="1" applyAlignment="1">
      <alignment horizontal="center"/>
    </xf>
    <xf numFmtId="0" fontId="81" fillId="41" borderId="32" xfId="0" applyFont="1" applyFill="1" applyBorder="1" applyAlignment="1">
      <alignment horizontal="center"/>
    </xf>
    <xf numFmtId="0" fontId="81" fillId="41" borderId="33" xfId="0" applyFont="1" applyFill="1" applyBorder="1" applyAlignment="1">
      <alignment horizontal="center"/>
    </xf>
    <xf numFmtId="0" fontId="81" fillId="4" borderId="25" xfId="0" applyFont="1" applyFill="1" applyBorder="1" applyAlignment="1">
      <alignment horizontal="center"/>
    </xf>
    <xf numFmtId="0" fontId="81" fillId="4" borderId="32" xfId="0" applyFont="1" applyFill="1" applyBorder="1" applyAlignment="1">
      <alignment horizontal="center"/>
    </xf>
    <xf numFmtId="0" fontId="81" fillId="4" borderId="33" xfId="0" applyFont="1" applyFill="1" applyBorder="1" applyAlignment="1">
      <alignment horizontal="center"/>
    </xf>
    <xf numFmtId="0" fontId="94" fillId="4" borderId="25" xfId="0" applyFont="1" applyFill="1" applyBorder="1" applyAlignment="1">
      <alignment horizontal="center"/>
    </xf>
    <xf numFmtId="0" fontId="94" fillId="4" borderId="33" xfId="0" applyFont="1" applyFill="1" applyBorder="1" applyAlignment="1">
      <alignment horizontal="center"/>
    </xf>
    <xf numFmtId="0" fontId="86" fillId="0" borderId="18" xfId="0" applyFont="1" applyBorder="1" applyAlignment="1">
      <alignment horizontal="center"/>
    </xf>
    <xf numFmtId="171" fontId="84" fillId="0" borderId="0" xfId="51" applyNumberFormat="1" applyFont="1" applyBorder="1" applyAlignment="1">
      <alignment horizontal="center"/>
    </xf>
    <xf numFmtId="171" fontId="84" fillId="0" borderId="16" xfId="51" applyNumberFormat="1" applyFont="1" applyBorder="1" applyAlignment="1">
      <alignment horizontal="center"/>
    </xf>
    <xf numFmtId="171" fontId="84" fillId="0" borderId="15" xfId="51" applyNumberFormat="1" applyFont="1" applyBorder="1" applyAlignment="1">
      <alignment horizontal="center"/>
    </xf>
    <xf numFmtId="0" fontId="87" fillId="4" borderId="34" xfId="0" applyFont="1" applyFill="1" applyBorder="1" applyAlignment="1">
      <alignment horizontal="center"/>
    </xf>
    <xf numFmtId="0" fontId="87" fillId="4" borderId="35" xfId="0" applyFont="1" applyFill="1" applyBorder="1" applyAlignment="1">
      <alignment horizontal="center"/>
    </xf>
    <xf numFmtId="0" fontId="87" fillId="4" borderId="36" xfId="0" applyFont="1" applyFill="1" applyBorder="1" applyAlignment="1">
      <alignment horizontal="center"/>
    </xf>
    <xf numFmtId="0" fontId="87" fillId="4" borderId="37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171" fontId="86" fillId="0" borderId="16" xfId="51" applyNumberFormat="1" applyFont="1" applyBorder="1" applyAlignment="1">
      <alignment horizontal="center"/>
    </xf>
    <xf numFmtId="171" fontId="86" fillId="0" borderId="15" xfId="51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4" fillId="16" borderId="16" xfId="0" applyFont="1" applyFill="1" applyBorder="1" applyAlignment="1">
      <alignment horizontal="center"/>
    </xf>
    <xf numFmtId="0" fontId="24" fillId="16" borderId="15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05"/>
          <c:y val="0.231"/>
          <c:w val="0.719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'cargas mensal'!$A$30:$D$30</c:f>
              <c:strCache>
                <c:ptCount val="1"/>
                <c:pt idx="0">
                  <c:v>evolução anual da movimentação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'cargas mensal'!$E$29:$N$29</c:f>
              <c:numCache/>
            </c:numRef>
          </c:cat>
          <c:val>
            <c:numRef>
              <c:f>'cargas mensal'!$E$30:$N$30</c:f>
              <c:numCache/>
            </c:numRef>
          </c:val>
        </c:ser>
        <c:axId val="55277667"/>
        <c:axId val="19980320"/>
      </c:barChart>
      <c:catAx>
        <c:axId val="55277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0320"/>
        <c:crosses val="autoZero"/>
        <c:auto val="1"/>
        <c:lblOffset val="100"/>
        <c:tickLblSkip val="1"/>
        <c:noMultiLvlLbl val="0"/>
      </c:catAx>
      <c:valAx>
        <c:axId val="19980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7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"/>
          <c:y val="0.54325"/>
          <c:w val="0.25475"/>
          <c:h val="0.1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5"/>
          <c:w val="0.975"/>
          <c:h val="0.9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'médias móveis cargas'!$A$9:$A$34</c:f>
              <c:strCache/>
            </c:strRef>
          </c:cat>
          <c:val>
            <c:numRef>
              <c:f>'médias móveis cargas'!$B$9:$B$34</c:f>
              <c:numCache/>
            </c:numRef>
          </c:val>
          <c:shape val="box"/>
        </c:ser>
        <c:shape val="box"/>
        <c:axId val="16933537"/>
        <c:axId val="20059958"/>
      </c:bar3DChart>
      <c:catAx>
        <c:axId val="1693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59958"/>
        <c:crosses val="autoZero"/>
        <c:auto val="1"/>
        <c:lblOffset val="100"/>
        <c:tickLblSkip val="1"/>
        <c:noMultiLvlLbl val="0"/>
      </c:catAx>
      <c:valAx>
        <c:axId val="20059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3537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76200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5</xdr:row>
      <xdr:rowOff>66675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1304925</xdr:colOff>
      <xdr:row>4</xdr:row>
      <xdr:rowOff>161925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56</xdr:row>
      <xdr:rowOff>85725</xdr:rowOff>
    </xdr:from>
    <xdr:to>
      <xdr:col>0</xdr:col>
      <xdr:colOff>1295400</xdr:colOff>
      <xdr:row>61</xdr:row>
      <xdr:rowOff>85725</xdr:rowOff>
    </xdr:to>
    <xdr:pic>
      <xdr:nvPicPr>
        <xdr:cNvPr id="2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1545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85725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</xdr:row>
      <xdr:rowOff>123825</xdr:rowOff>
    </xdr:from>
    <xdr:to>
      <xdr:col>10</xdr:col>
      <xdr:colOff>47625</xdr:colOff>
      <xdr:row>39</xdr:row>
      <xdr:rowOff>133350</xdr:rowOff>
    </xdr:to>
    <xdr:graphicFrame>
      <xdr:nvGraphicFramePr>
        <xdr:cNvPr id="2" name="Gráfico 4"/>
        <xdr:cNvGraphicFramePr/>
      </xdr:nvGraphicFramePr>
      <xdr:xfrm>
        <a:off x="209550" y="5962650"/>
        <a:ext cx="771525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895350</xdr:colOff>
      <xdr:row>3</xdr:row>
      <xdr:rowOff>47625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19050</xdr:rowOff>
    </xdr:from>
    <xdr:to>
      <xdr:col>5</xdr:col>
      <xdr:colOff>600075</xdr:colOff>
      <xdr:row>57</xdr:row>
      <xdr:rowOff>76200</xdr:rowOff>
    </xdr:to>
    <xdr:graphicFrame>
      <xdr:nvGraphicFramePr>
        <xdr:cNvPr id="2" name="Gráfico 5"/>
        <xdr:cNvGraphicFramePr/>
      </xdr:nvGraphicFramePr>
      <xdr:xfrm>
        <a:off x="0" y="6572250"/>
        <a:ext cx="776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2</xdr:row>
      <xdr:rowOff>38100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1190625</xdr:colOff>
      <xdr:row>3</xdr:row>
      <xdr:rowOff>66675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52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1333500</xdr:colOff>
      <xdr:row>4</xdr:row>
      <xdr:rowOff>38100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114300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838200</xdr:colOff>
      <xdr:row>2</xdr:row>
      <xdr:rowOff>95250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7"/>
  <sheetViews>
    <sheetView showGridLines="0" zoomScale="75" zoomScaleNormal="75" zoomScalePageLayoutView="0" workbookViewId="0" topLeftCell="A3">
      <selection activeCell="H20" sqref="H20"/>
    </sheetView>
  </sheetViews>
  <sheetFormatPr defaultColWidth="9.140625" defaultRowHeight="12.75"/>
  <cols>
    <col min="1" max="1" width="52.00390625" style="189" customWidth="1"/>
    <col min="2" max="2" width="14.00390625" style="189" customWidth="1"/>
    <col min="3" max="3" width="17.7109375" style="189" customWidth="1"/>
    <col min="4" max="4" width="14.00390625" style="189" customWidth="1"/>
    <col min="5" max="5" width="20.00390625" style="189" bestFit="1" customWidth="1"/>
    <col min="6" max="6" width="13.57421875" style="189" bestFit="1" customWidth="1"/>
    <col min="7" max="7" width="34.421875" style="189" bestFit="1" customWidth="1"/>
    <col min="8" max="8" width="21.7109375" style="189" bestFit="1" customWidth="1"/>
    <col min="9" max="9" width="11.421875" style="189" bestFit="1" customWidth="1"/>
    <col min="10" max="16384" width="9.140625" style="189" customWidth="1"/>
  </cols>
  <sheetData>
    <row r="5" ht="12.75">
      <c r="F5" s="203"/>
    </row>
    <row r="6" spans="1:10" s="236" customFormat="1" ht="18.75">
      <c r="A6" s="373" t="s">
        <v>232</v>
      </c>
      <c r="B6" s="373"/>
      <c r="C6" s="373"/>
      <c r="D6" s="373"/>
      <c r="E6" s="373"/>
      <c r="F6" s="373"/>
      <c r="G6" s="373"/>
      <c r="H6" s="373"/>
      <c r="J6" s="237"/>
    </row>
    <row r="7" spans="1:8" ht="15.75">
      <c r="A7" s="374" t="s">
        <v>429</v>
      </c>
      <c r="B7" s="374"/>
      <c r="C7" s="374"/>
      <c r="D7" s="374"/>
      <c r="E7" s="374"/>
      <c r="F7" s="374"/>
      <c r="G7" s="374"/>
      <c r="H7" s="374"/>
    </row>
    <row r="8" spans="1:6" ht="15.75">
      <c r="A8" s="235"/>
      <c r="B8" s="235"/>
      <c r="E8" s="240"/>
      <c r="F8" s="234"/>
    </row>
    <row r="9" spans="1:8" ht="15.75">
      <c r="A9" s="220" t="s">
        <v>155</v>
      </c>
      <c r="B9" s="371" t="s">
        <v>246</v>
      </c>
      <c r="C9" s="372"/>
      <c r="D9" s="371" t="s">
        <v>233</v>
      </c>
      <c r="E9" s="375"/>
      <c r="F9" s="220" t="s">
        <v>119</v>
      </c>
      <c r="G9" s="376" t="s">
        <v>234</v>
      </c>
      <c r="H9" s="377"/>
    </row>
    <row r="10" spans="1:10" ht="15.75">
      <c r="A10" s="230" t="s">
        <v>157</v>
      </c>
      <c r="B10" s="232" t="s">
        <v>71</v>
      </c>
      <c r="C10" s="233">
        <v>10</v>
      </c>
      <c r="D10" s="232" t="s">
        <v>70</v>
      </c>
      <c r="E10" s="233">
        <v>8</v>
      </c>
      <c r="F10" s="337">
        <v>-20</v>
      </c>
      <c r="G10" s="232" t="s">
        <v>182</v>
      </c>
      <c r="H10" s="245">
        <v>97</v>
      </c>
      <c r="I10" s="240"/>
      <c r="J10" s="320"/>
    </row>
    <row r="11" spans="1:9" ht="15.75">
      <c r="A11" s="228" t="s">
        <v>212</v>
      </c>
      <c r="B11" s="227" t="s">
        <v>71</v>
      </c>
      <c r="C11" s="231">
        <v>0</v>
      </c>
      <c r="D11" s="227" t="s">
        <v>70</v>
      </c>
      <c r="E11" s="231">
        <v>0</v>
      </c>
      <c r="F11" s="325">
        <v>0</v>
      </c>
      <c r="G11" s="264" t="s">
        <v>182</v>
      </c>
      <c r="H11" s="246">
        <v>0</v>
      </c>
      <c r="I11" s="240"/>
    </row>
    <row r="12" spans="1:11" ht="15.75">
      <c r="A12" s="230" t="s">
        <v>158</v>
      </c>
      <c r="B12" s="229" t="s">
        <v>71</v>
      </c>
      <c r="C12" s="363">
        <v>20.6</v>
      </c>
      <c r="D12" s="229" t="s">
        <v>70</v>
      </c>
      <c r="E12" s="363">
        <v>18.79</v>
      </c>
      <c r="F12" s="337">
        <v>-8.79</v>
      </c>
      <c r="G12" s="229" t="s">
        <v>182</v>
      </c>
      <c r="H12" s="247">
        <v>180.62</v>
      </c>
      <c r="I12" s="303"/>
      <c r="J12" s="303"/>
      <c r="K12" s="189" t="s">
        <v>12</v>
      </c>
    </row>
    <row r="13" spans="1:11" ht="15.75">
      <c r="A13" s="228" t="s">
        <v>213</v>
      </c>
      <c r="B13" s="227" t="s">
        <v>71</v>
      </c>
      <c r="C13" s="364">
        <v>9.4</v>
      </c>
      <c r="D13" s="227" t="s">
        <v>70</v>
      </c>
      <c r="E13" s="364">
        <v>12.21</v>
      </c>
      <c r="F13" s="325">
        <v>29.89</v>
      </c>
      <c r="G13" s="226" t="s">
        <v>182</v>
      </c>
      <c r="H13" s="248">
        <v>185.38</v>
      </c>
      <c r="I13" s="234"/>
      <c r="K13" s="189" t="s">
        <v>12</v>
      </c>
    </row>
    <row r="14" spans="1:10" ht="15.75">
      <c r="A14" s="225" t="s">
        <v>159</v>
      </c>
      <c r="B14" s="223" t="s">
        <v>71</v>
      </c>
      <c r="C14" s="224">
        <v>52598.735</v>
      </c>
      <c r="D14" s="223" t="s">
        <v>70</v>
      </c>
      <c r="E14" s="224">
        <v>36436.417</v>
      </c>
      <c r="F14" s="338">
        <v>-30.73</v>
      </c>
      <c r="G14" s="223" t="s">
        <v>182</v>
      </c>
      <c r="H14" s="249">
        <v>606776.494</v>
      </c>
      <c r="J14" s="189" t="s">
        <v>12</v>
      </c>
    </row>
    <row r="15" spans="1:13" ht="15.75">
      <c r="A15" s="189" t="s">
        <v>154</v>
      </c>
      <c r="E15" s="240"/>
      <c r="F15" s="222"/>
      <c r="G15" s="217" t="s">
        <v>153</v>
      </c>
      <c r="H15" s="221">
        <f>H14/12</f>
        <v>50564.70783333333</v>
      </c>
      <c r="J15" s="189" t="s">
        <v>12</v>
      </c>
      <c r="K15" s="189" t="s">
        <v>12</v>
      </c>
      <c r="M15" s="189" t="s">
        <v>12</v>
      </c>
    </row>
    <row r="16" spans="5:6" ht="18.75">
      <c r="E16" s="356"/>
      <c r="F16" s="240"/>
    </row>
    <row r="17" ht="15.75">
      <c r="M17" s="189" t="s">
        <v>12</v>
      </c>
    </row>
    <row r="18" spans="1:8" ht="15.75">
      <c r="A18" s="220" t="s">
        <v>152</v>
      </c>
      <c r="B18" s="376" t="s">
        <v>151</v>
      </c>
      <c r="C18" s="378"/>
      <c r="D18" s="376" t="s">
        <v>151</v>
      </c>
      <c r="E18" s="378"/>
      <c r="F18" s="220" t="s">
        <v>119</v>
      </c>
      <c r="G18" s="371" t="s">
        <v>235</v>
      </c>
      <c r="H18" s="372"/>
    </row>
    <row r="19" spans="1:12" ht="15.75">
      <c r="A19" s="219" t="s">
        <v>160</v>
      </c>
      <c r="B19" s="336" t="s">
        <v>71</v>
      </c>
      <c r="C19" s="365">
        <v>1427517.11</v>
      </c>
      <c r="D19" s="336" t="s">
        <v>70</v>
      </c>
      <c r="E19" s="365">
        <v>1137685.35</v>
      </c>
      <c r="F19" s="366">
        <v>-20.3</v>
      </c>
      <c r="G19" s="232" t="s">
        <v>182</v>
      </c>
      <c r="H19" s="218">
        <v>15939864.47</v>
      </c>
      <c r="J19" s="189" t="s">
        <v>12</v>
      </c>
      <c r="L19" s="189" t="s">
        <v>12</v>
      </c>
    </row>
    <row r="20" spans="5:8" ht="21">
      <c r="E20" s="335"/>
      <c r="G20" s="217" t="s">
        <v>150</v>
      </c>
      <c r="H20" s="216">
        <f>H19/12</f>
        <v>1328322.0391666668</v>
      </c>
    </row>
    <row r="21" spans="5:6" ht="15.75">
      <c r="E21" s="240"/>
      <c r="F21" s="265"/>
    </row>
    <row r="22" spans="7:11" ht="15.75">
      <c r="G22" s="371" t="s">
        <v>236</v>
      </c>
      <c r="H22" s="372"/>
      <c r="K22" s="189" t="s">
        <v>12</v>
      </c>
    </row>
    <row r="23" spans="5:12" ht="23.25">
      <c r="E23" s="367"/>
      <c r="G23" s="232" t="s">
        <v>182</v>
      </c>
      <c r="H23" s="301">
        <f>H14</f>
        <v>606776.494</v>
      </c>
      <c r="L23" s="189" t="s">
        <v>12</v>
      </c>
    </row>
    <row r="24" spans="7:8" ht="15.75">
      <c r="G24" s="217" t="s">
        <v>183</v>
      </c>
      <c r="H24" s="290">
        <f>H23/12</f>
        <v>50564.70783333333</v>
      </c>
    </row>
    <row r="26" ht="15.75">
      <c r="E26" s="189" t="s">
        <v>12</v>
      </c>
    </row>
    <row r="27" spans="7:8" ht="15.75">
      <c r="G27" s="275" t="s">
        <v>184</v>
      </c>
      <c r="H27" s="276">
        <f>H19/H14</f>
        <v>26.26974615466894</v>
      </c>
    </row>
  </sheetData>
  <sheetProtection/>
  <mergeCells count="9">
    <mergeCell ref="G22:H22"/>
    <mergeCell ref="A6:H6"/>
    <mergeCell ref="A7:H7"/>
    <mergeCell ref="B9:C9"/>
    <mergeCell ref="D9:E9"/>
    <mergeCell ref="G9:H9"/>
    <mergeCell ref="B18:C18"/>
    <mergeCell ref="D18:E18"/>
    <mergeCell ref="G18:H18"/>
  </mergeCells>
  <printOptions horizontalCentered="1" vertic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26"/>
  <sheetViews>
    <sheetView showGridLines="0" zoomScale="75" zoomScaleNormal="75" zoomScalePageLayoutView="0" workbookViewId="0" topLeftCell="A1">
      <selection activeCell="D23" sqref="D23"/>
    </sheetView>
  </sheetViews>
  <sheetFormatPr defaultColWidth="11.421875" defaultRowHeight="12.75"/>
  <cols>
    <col min="1" max="1" width="36.140625" style="137" customWidth="1"/>
    <col min="2" max="2" width="35.421875" style="164" customWidth="1"/>
    <col min="3" max="4" width="17.7109375" style="163" customWidth="1"/>
    <col min="5" max="5" width="0.13671875" style="162" customWidth="1"/>
    <col min="6" max="11" width="11.421875" style="162" hidden="1" customWidth="1"/>
    <col min="12" max="16384" width="11.421875" style="162" customWidth="1"/>
  </cols>
  <sheetData>
    <row r="4" spans="1:4" ht="15.75">
      <c r="A4" s="437" t="s">
        <v>218</v>
      </c>
      <c r="B4" s="437"/>
      <c r="C4" s="437"/>
      <c r="D4" s="437"/>
    </row>
    <row r="5" spans="1:4" s="110" customFormat="1" ht="15.75">
      <c r="A5" s="179" t="s">
        <v>192</v>
      </c>
      <c r="B5" s="178"/>
      <c r="C5" s="178"/>
      <c r="D5" s="178"/>
    </row>
    <row r="6" spans="1:4" ht="14.25">
      <c r="A6" s="177" t="s">
        <v>115</v>
      </c>
      <c r="B6" s="177" t="s">
        <v>114</v>
      </c>
      <c r="C6" s="176" t="s">
        <v>113</v>
      </c>
      <c r="D6" s="176" t="s">
        <v>209</v>
      </c>
    </row>
    <row r="7" spans="1:4" ht="14.25">
      <c r="A7" s="182" t="s">
        <v>112</v>
      </c>
      <c r="B7" s="182" t="s">
        <v>111</v>
      </c>
      <c r="C7" s="173" t="s">
        <v>110</v>
      </c>
      <c r="D7" s="181" t="s">
        <v>109</v>
      </c>
    </row>
    <row r="8" spans="1:4" ht="15">
      <c r="A8" s="165"/>
      <c r="B8" s="170"/>
      <c r="C8" s="171"/>
      <c r="D8" s="169"/>
    </row>
    <row r="9" spans="1:4" ht="15">
      <c r="A9" s="165"/>
      <c r="B9" s="170"/>
      <c r="C9" s="171"/>
      <c r="D9" s="169"/>
    </row>
    <row r="10" spans="1:4" ht="15">
      <c r="A10" s="165"/>
      <c r="B10" s="170"/>
      <c r="C10" s="171"/>
      <c r="D10" s="169"/>
    </row>
    <row r="11" spans="1:4" ht="15">
      <c r="A11" s="167" t="s">
        <v>83</v>
      </c>
      <c r="B11" s="180" t="s">
        <v>16</v>
      </c>
      <c r="C11" s="166">
        <f>SUM(C8:C8)</f>
        <v>0</v>
      </c>
      <c r="D11" s="166">
        <f>31-C11</f>
        <v>31</v>
      </c>
    </row>
    <row r="12" spans="1:4" ht="15">
      <c r="A12" s="167" t="s">
        <v>83</v>
      </c>
      <c r="B12" s="180" t="s">
        <v>17</v>
      </c>
      <c r="C12" s="166">
        <f>SUM(C9:C9)</f>
        <v>0</v>
      </c>
      <c r="D12" s="166">
        <f>29-C12</f>
        <v>29</v>
      </c>
    </row>
    <row r="13" spans="1:4" ht="15">
      <c r="A13" s="167" t="s">
        <v>83</v>
      </c>
      <c r="B13" s="180" t="s">
        <v>18</v>
      </c>
      <c r="C13" s="166">
        <f>SUM(C10:C10)</f>
        <v>0</v>
      </c>
      <c r="D13" s="166">
        <f>31-C13</f>
        <v>31</v>
      </c>
    </row>
    <row r="14" spans="1:4" ht="15">
      <c r="A14" s="167" t="s">
        <v>83</v>
      </c>
      <c r="B14" s="180" t="s">
        <v>68</v>
      </c>
      <c r="C14" s="166">
        <v>0</v>
      </c>
      <c r="D14" s="166">
        <f>30-C14</f>
        <v>30</v>
      </c>
    </row>
    <row r="15" spans="1:4" ht="15">
      <c r="A15" s="167" t="s">
        <v>83</v>
      </c>
      <c r="B15" s="180" t="s">
        <v>67</v>
      </c>
      <c r="C15" s="166">
        <v>0</v>
      </c>
      <c r="D15" s="166">
        <f>31-C15</f>
        <v>31</v>
      </c>
    </row>
    <row r="16" spans="1:4" ht="15">
      <c r="A16" s="167" t="s">
        <v>83</v>
      </c>
      <c r="B16" s="180" t="s">
        <v>66</v>
      </c>
      <c r="C16" s="166">
        <v>0</v>
      </c>
      <c r="D16" s="166">
        <f>30-C16</f>
        <v>30</v>
      </c>
    </row>
    <row r="17" spans="1:4" ht="15">
      <c r="A17" s="167" t="s">
        <v>83</v>
      </c>
      <c r="B17" s="180" t="s">
        <v>39</v>
      </c>
      <c r="C17" s="166">
        <v>0</v>
      </c>
      <c r="D17" s="166">
        <f>31-C17</f>
        <v>31</v>
      </c>
    </row>
    <row r="18" spans="1:4" ht="15">
      <c r="A18" s="167" t="s">
        <v>83</v>
      </c>
      <c r="B18" s="180" t="s">
        <v>40</v>
      </c>
      <c r="C18" s="166">
        <v>0</v>
      </c>
      <c r="D18" s="166">
        <v>31</v>
      </c>
    </row>
    <row r="19" spans="1:4" ht="15">
      <c r="A19" s="167" t="s">
        <v>83</v>
      </c>
      <c r="B19" s="180" t="s">
        <v>41</v>
      </c>
      <c r="C19" s="166">
        <v>0</v>
      </c>
      <c r="D19" s="166">
        <v>30</v>
      </c>
    </row>
    <row r="20" spans="1:4" ht="15">
      <c r="A20" s="167" t="s">
        <v>83</v>
      </c>
      <c r="B20" s="180" t="s">
        <v>42</v>
      </c>
      <c r="C20" s="166">
        <v>0</v>
      </c>
      <c r="D20" s="166">
        <v>31</v>
      </c>
    </row>
    <row r="21" spans="1:4" ht="15">
      <c r="A21" s="167" t="s">
        <v>83</v>
      </c>
      <c r="B21" s="180" t="s">
        <v>43</v>
      </c>
      <c r="C21" s="166">
        <v>0</v>
      </c>
      <c r="D21" s="166">
        <v>30</v>
      </c>
    </row>
    <row r="22" spans="1:4" ht="15">
      <c r="A22" s="167" t="s">
        <v>83</v>
      </c>
      <c r="B22" s="180" t="s">
        <v>44</v>
      </c>
      <c r="C22" s="166">
        <v>0</v>
      </c>
      <c r="D22" s="166">
        <v>31</v>
      </c>
    </row>
    <row r="23" spans="1:12" ht="18">
      <c r="A23" s="440" t="s">
        <v>108</v>
      </c>
      <c r="B23" s="440"/>
      <c r="C23" s="314" t="e">
        <f>SUM(#REF!,#REF!,#REF!,#REF!,#REF!,#REF!,C11,#REF!,#REF!,#REF!,#REF!,#REF!)</f>
        <v>#REF!</v>
      </c>
      <c r="D23" s="314" t="e">
        <f>D11+#REF!+#REF!+#REF!+#REF!+#REF!+#REF!+#REF!+#REF!+#REF!+#REF!+#REF!</f>
        <v>#REF!</v>
      </c>
      <c r="E23" s="106"/>
      <c r="F23" s="106"/>
      <c r="G23" s="106"/>
      <c r="H23" s="106"/>
      <c r="I23" s="106"/>
      <c r="J23" s="106"/>
      <c r="K23" s="106"/>
      <c r="L23" s="315" t="e">
        <f>SUM(L11,#REF!,#REF!,#REF!,#REF!,#REF!,#REF!,#REF!)</f>
        <v>#REF!</v>
      </c>
    </row>
    <row r="25" ht="14.25">
      <c r="A25" s="137" t="s">
        <v>118</v>
      </c>
    </row>
    <row r="26" ht="14.25">
      <c r="A26" s="137" t="s">
        <v>117</v>
      </c>
    </row>
  </sheetData>
  <sheetProtection/>
  <mergeCells count="2">
    <mergeCell ref="A4:D4"/>
    <mergeCell ref="A23:B23"/>
  </mergeCells>
  <printOptions horizontalCentered="1" verticalCentered="1"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="75" zoomScaleNormal="75" zoomScalePageLayoutView="0" workbookViewId="0" topLeftCell="A11">
      <selection activeCell="D27" sqref="D27"/>
    </sheetView>
  </sheetViews>
  <sheetFormatPr defaultColWidth="9.140625" defaultRowHeight="12.75"/>
  <cols>
    <col min="1" max="1" width="20.28125" style="119" customWidth="1"/>
    <col min="2" max="3" width="13.28125" style="119" customWidth="1"/>
    <col min="4" max="4" width="28.421875" style="119" customWidth="1"/>
    <col min="5" max="11" width="9.140625" style="119" hidden="1" customWidth="1"/>
    <col min="12" max="12" width="13.57421875" style="119" bestFit="1" customWidth="1"/>
    <col min="13" max="13" width="9.140625" style="119" customWidth="1"/>
    <col min="14" max="14" width="20.28125" style="119" bestFit="1" customWidth="1"/>
    <col min="15" max="16" width="13.28125" style="119" bestFit="1" customWidth="1"/>
    <col min="17" max="17" width="28.421875" style="119" bestFit="1" customWidth="1"/>
    <col min="18" max="18" width="9.421875" style="119" bestFit="1" customWidth="1"/>
    <col min="19" max="16384" width="9.140625" style="119" customWidth="1"/>
  </cols>
  <sheetData>
    <row r="1" spans="1:11" ht="14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4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4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7" ht="12.75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</row>
    <row r="6" spans="1:17" ht="12.75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</row>
    <row r="7" spans="1:17" ht="12.75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</row>
    <row r="8" spans="1:11" ht="12.7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7" ht="25.5">
      <c r="A10" s="441" t="s">
        <v>96</v>
      </c>
      <c r="B10" s="441"/>
      <c r="C10" s="441"/>
      <c r="D10" s="441"/>
      <c r="N10" s="441" t="s">
        <v>95</v>
      </c>
      <c r="O10" s="441"/>
      <c r="P10" s="441"/>
      <c r="Q10" s="441"/>
    </row>
    <row r="11" spans="1:17" ht="19.5">
      <c r="A11" s="442" t="s">
        <v>94</v>
      </c>
      <c r="B11" s="442"/>
      <c r="C11" s="442"/>
      <c r="D11" s="442"/>
      <c r="N11" s="442" t="s">
        <v>207</v>
      </c>
      <c r="O11" s="442"/>
      <c r="P11" s="442"/>
      <c r="Q11" s="442"/>
    </row>
    <row r="13" spans="1:17" ht="25.5">
      <c r="A13" s="135" t="s">
        <v>86</v>
      </c>
      <c r="B13" s="135">
        <v>2015</v>
      </c>
      <c r="C13" s="135">
        <v>2016</v>
      </c>
      <c r="D13" s="135" t="s">
        <v>93</v>
      </c>
      <c r="N13" s="135" t="s">
        <v>86</v>
      </c>
      <c r="O13" s="135">
        <v>2015</v>
      </c>
      <c r="P13" s="135">
        <v>2016</v>
      </c>
      <c r="Q13" s="135" t="s">
        <v>93</v>
      </c>
    </row>
    <row r="14" spans="1:19" ht="25.5">
      <c r="A14" s="130" t="s">
        <v>16</v>
      </c>
      <c r="B14" s="129">
        <v>20.59</v>
      </c>
      <c r="C14" s="129">
        <v>7.02</v>
      </c>
      <c r="D14" s="131">
        <v>-0.6591</v>
      </c>
      <c r="L14" s="333"/>
      <c r="N14" s="130" t="s">
        <v>16</v>
      </c>
      <c r="O14" s="282">
        <v>1.38</v>
      </c>
      <c r="P14" s="331">
        <v>0</v>
      </c>
      <c r="Q14" s="131">
        <v>0</v>
      </c>
      <c r="R14" s="252"/>
      <c r="S14" s="119" t="s">
        <v>12</v>
      </c>
    </row>
    <row r="15" spans="1:21" ht="25.5">
      <c r="A15" s="130" t="s">
        <v>17</v>
      </c>
      <c r="B15" s="129">
        <v>15.89</v>
      </c>
      <c r="C15" s="129">
        <v>7.58</v>
      </c>
      <c r="D15" s="131">
        <v>-0.523</v>
      </c>
      <c r="L15" s="132"/>
      <c r="N15" s="130" t="s">
        <v>17</v>
      </c>
      <c r="O15" s="289">
        <v>3.72</v>
      </c>
      <c r="P15" s="129">
        <v>0</v>
      </c>
      <c r="Q15" s="254">
        <v>0</v>
      </c>
      <c r="R15" s="253"/>
      <c r="U15" s="119" t="s">
        <v>12</v>
      </c>
    </row>
    <row r="16" spans="1:18" ht="25.5">
      <c r="A16" s="130" t="s">
        <v>18</v>
      </c>
      <c r="B16" s="129">
        <v>14.25</v>
      </c>
      <c r="C16" s="129">
        <v>20.2</v>
      </c>
      <c r="D16" s="131">
        <v>0.4175</v>
      </c>
      <c r="N16" s="130" t="s">
        <v>18</v>
      </c>
      <c r="O16" s="289">
        <v>2.59</v>
      </c>
      <c r="P16" s="129">
        <v>0</v>
      </c>
      <c r="Q16" s="254">
        <v>0</v>
      </c>
      <c r="R16" s="300"/>
    </row>
    <row r="17" spans="1:17" ht="25.5">
      <c r="A17" s="130" t="s">
        <v>68</v>
      </c>
      <c r="B17" s="129">
        <v>18.2</v>
      </c>
      <c r="C17" s="129">
        <v>9.91</v>
      </c>
      <c r="D17" s="131">
        <v>-0.4555</v>
      </c>
      <c r="L17" s="253"/>
      <c r="N17" s="130" t="s">
        <v>68</v>
      </c>
      <c r="O17" s="289">
        <v>3.74</v>
      </c>
      <c r="P17" s="129">
        <v>0</v>
      </c>
      <c r="Q17" s="131">
        <v>0</v>
      </c>
    </row>
    <row r="18" spans="1:18" ht="25.5">
      <c r="A18" s="130" t="s">
        <v>67</v>
      </c>
      <c r="B18" s="129">
        <v>13.88</v>
      </c>
      <c r="C18" s="129">
        <v>14.91</v>
      </c>
      <c r="D18" s="131">
        <v>0.0742</v>
      </c>
      <c r="L18" s="354"/>
      <c r="N18" s="130" t="s">
        <v>67</v>
      </c>
      <c r="O18" s="289">
        <v>7.53</v>
      </c>
      <c r="P18" s="129">
        <v>0</v>
      </c>
      <c r="Q18" s="131">
        <v>0</v>
      </c>
      <c r="R18" s="300"/>
    </row>
    <row r="19" spans="1:17" ht="25.5">
      <c r="A19" s="130" t="s">
        <v>66</v>
      </c>
      <c r="B19" s="129">
        <v>9.9</v>
      </c>
      <c r="C19" s="129">
        <v>11.68</v>
      </c>
      <c r="D19" s="131">
        <v>0.1798</v>
      </c>
      <c r="E19" s="134"/>
      <c r="N19" s="130" t="s">
        <v>66</v>
      </c>
      <c r="O19" s="289">
        <v>3.61</v>
      </c>
      <c r="P19" s="129">
        <v>0</v>
      </c>
      <c r="Q19" s="131">
        <v>0</v>
      </c>
    </row>
    <row r="20" spans="1:17" ht="25.5">
      <c r="A20" s="130" t="s">
        <v>39</v>
      </c>
      <c r="B20" s="129">
        <v>15.08</v>
      </c>
      <c r="C20" s="129">
        <v>15.33</v>
      </c>
      <c r="D20" s="131">
        <v>0.0166</v>
      </c>
      <c r="L20" s="358"/>
      <c r="N20" s="130" t="s">
        <v>39</v>
      </c>
      <c r="O20" s="289">
        <v>5.48</v>
      </c>
      <c r="P20" s="129">
        <v>0</v>
      </c>
      <c r="Q20" s="131">
        <v>0</v>
      </c>
    </row>
    <row r="21" spans="1:17" ht="25.5">
      <c r="A21" s="130" t="s">
        <v>40</v>
      </c>
      <c r="B21" s="129">
        <v>21.71</v>
      </c>
      <c r="C21" s="129">
        <v>24.58</v>
      </c>
      <c r="D21" s="131">
        <v>0.1322</v>
      </c>
      <c r="F21" s="133"/>
      <c r="L21" s="132"/>
      <c r="N21" s="130" t="s">
        <v>40</v>
      </c>
      <c r="O21" s="289">
        <v>5.03</v>
      </c>
      <c r="P21" s="129">
        <v>0</v>
      </c>
      <c r="Q21" s="131">
        <v>0</v>
      </c>
    </row>
    <row r="22" spans="1:17" ht="25.5">
      <c r="A22" s="130" t="s">
        <v>41</v>
      </c>
      <c r="B22" s="129">
        <v>19.37</v>
      </c>
      <c r="C22" s="129">
        <v>17.35</v>
      </c>
      <c r="D22" s="131">
        <v>-0.1043</v>
      </c>
      <c r="N22" s="130" t="s">
        <v>41</v>
      </c>
      <c r="O22" s="129">
        <v>0</v>
      </c>
      <c r="P22" s="129">
        <v>0</v>
      </c>
      <c r="Q22" s="128"/>
    </row>
    <row r="23" spans="1:17" ht="25.5">
      <c r="A23" s="130" t="s">
        <v>42</v>
      </c>
      <c r="B23" s="129">
        <v>19.31</v>
      </c>
      <c r="C23" s="129">
        <v>12.67</v>
      </c>
      <c r="D23" s="131">
        <v>-0.3439</v>
      </c>
      <c r="L23" s="122"/>
      <c r="N23" s="130" t="s">
        <v>42</v>
      </c>
      <c r="O23" s="129">
        <v>0</v>
      </c>
      <c r="P23" s="129">
        <v>0</v>
      </c>
      <c r="Q23" s="128"/>
    </row>
    <row r="24" spans="1:17" ht="25.5">
      <c r="A24" s="130" t="s">
        <v>43</v>
      </c>
      <c r="B24" s="129">
        <v>11.1</v>
      </c>
      <c r="C24" s="129">
        <v>20.6</v>
      </c>
      <c r="D24" s="131">
        <v>0.8559</v>
      </c>
      <c r="N24" s="130" t="s">
        <v>43</v>
      </c>
      <c r="O24" s="129">
        <v>0</v>
      </c>
      <c r="P24" s="129">
        <v>0</v>
      </c>
      <c r="Q24" s="128"/>
    </row>
    <row r="25" spans="1:18" ht="25.5">
      <c r="A25" s="130" t="s">
        <v>44</v>
      </c>
      <c r="B25" s="129">
        <v>14.26</v>
      </c>
      <c r="C25" s="129">
        <v>18.79</v>
      </c>
      <c r="D25" s="131">
        <v>0.3177</v>
      </c>
      <c r="N25" s="130" t="s">
        <v>44</v>
      </c>
      <c r="O25" s="330">
        <v>0</v>
      </c>
      <c r="P25" s="330">
        <v>0</v>
      </c>
      <c r="Q25" s="131"/>
      <c r="R25" s="252"/>
    </row>
    <row r="26" spans="1:17" ht="25.5">
      <c r="A26" s="126" t="s">
        <v>92</v>
      </c>
      <c r="B26" s="125">
        <f>SUM(B14:B25)</f>
        <v>193.54</v>
      </c>
      <c r="C26" s="125">
        <f>SUM(C14:C25)</f>
        <v>180.61999999999995</v>
      </c>
      <c r="D26" s="127">
        <v>-0.0668</v>
      </c>
      <c r="L26" s="122"/>
      <c r="N26" s="126" t="s">
        <v>92</v>
      </c>
      <c r="O26" s="299">
        <f>SUM(O14:O25)</f>
        <v>33.08</v>
      </c>
      <c r="P26" s="332">
        <f>SUM(P14:P25)</f>
        <v>0</v>
      </c>
      <c r="Q26" s="127"/>
    </row>
    <row r="27" spans="1:4" ht="20.25">
      <c r="A27" s="122"/>
      <c r="B27" s="122"/>
      <c r="C27" s="124"/>
      <c r="D27" s="122"/>
    </row>
    <row r="28" spans="1:14" ht="20.25">
      <c r="A28" s="122"/>
      <c r="B28" s="122"/>
      <c r="C28" s="122"/>
      <c r="D28" s="123"/>
      <c r="N28" s="120"/>
    </row>
    <row r="29" spans="1:14" ht="20.25">
      <c r="A29" s="122" t="s">
        <v>210</v>
      </c>
      <c r="B29" s="122"/>
      <c r="C29" s="122"/>
      <c r="D29" s="121"/>
      <c r="N29" s="120"/>
    </row>
    <row r="30" ht="20.25">
      <c r="A30" s="122" t="s">
        <v>211</v>
      </c>
    </row>
    <row r="32" ht="12.75">
      <c r="C32" s="119" t="s">
        <v>12</v>
      </c>
    </row>
  </sheetData>
  <sheetProtection/>
  <mergeCells count="7">
    <mergeCell ref="A10:D10"/>
    <mergeCell ref="A11:D11"/>
    <mergeCell ref="N10:Q10"/>
    <mergeCell ref="N11:Q11"/>
    <mergeCell ref="A5:Q5"/>
    <mergeCell ref="A6:Q6"/>
    <mergeCell ref="A7:Q7"/>
  </mergeCells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Q108"/>
  <sheetViews>
    <sheetView showGridLines="0" zoomScalePageLayoutView="0" workbookViewId="0" topLeftCell="A66">
      <selection activeCell="A66" sqref="A66:O66"/>
    </sheetView>
  </sheetViews>
  <sheetFormatPr defaultColWidth="11.421875" defaultRowHeight="12.75"/>
  <cols>
    <col min="1" max="1" width="32.140625" style="1" customWidth="1"/>
    <col min="2" max="2" width="7.8515625" style="2" customWidth="1"/>
    <col min="3" max="3" width="11.28125" style="3" customWidth="1"/>
    <col min="4" max="4" width="7.7109375" style="2" customWidth="1"/>
    <col min="5" max="5" width="12.28125" style="3" customWidth="1"/>
    <col min="6" max="6" width="8.28125" style="2" customWidth="1"/>
    <col min="7" max="7" width="12.7109375" style="3" customWidth="1"/>
    <col min="8" max="8" width="8.7109375" style="2" customWidth="1"/>
    <col min="9" max="9" width="11.7109375" style="3" customWidth="1"/>
    <col min="10" max="10" width="7.7109375" style="2" customWidth="1"/>
    <col min="11" max="11" width="12.28125" style="3" customWidth="1"/>
    <col min="12" max="12" width="8.57421875" style="2" customWidth="1"/>
    <col min="13" max="13" width="12.00390625" style="3" customWidth="1"/>
    <col min="14" max="14" width="10.57421875" style="1" customWidth="1"/>
    <col min="15" max="15" width="17.421875" style="1" customWidth="1"/>
    <col min="16" max="16384" width="11.421875" style="1" customWidth="1"/>
  </cols>
  <sheetData>
    <row r="7" ht="13.5" thickBot="1"/>
    <row r="8" spans="1:15" ht="21.75" thickBot="1" thickTop="1">
      <c r="A8" s="381" t="s">
        <v>227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3"/>
    </row>
    <row r="9" ht="13.5" thickTop="1"/>
    <row r="10" spans="1:15" ht="12.75">
      <c r="A10" s="4" t="s">
        <v>0</v>
      </c>
      <c r="B10" s="5" t="s">
        <v>1</v>
      </c>
      <c r="C10" s="6"/>
      <c r="D10" s="7" t="s">
        <v>2</v>
      </c>
      <c r="E10" s="8"/>
      <c r="F10" s="7" t="s">
        <v>3</v>
      </c>
      <c r="G10" s="9"/>
      <c r="H10" s="5" t="s">
        <v>4</v>
      </c>
      <c r="I10" s="9"/>
      <c r="J10" s="5" t="s">
        <v>5</v>
      </c>
      <c r="K10" s="9"/>
      <c r="L10" s="5" t="s">
        <v>6</v>
      </c>
      <c r="M10" s="9"/>
      <c r="N10" s="10" t="s">
        <v>7</v>
      </c>
      <c r="O10" s="11"/>
    </row>
    <row r="11" spans="1:15" ht="12.75">
      <c r="A11" s="4" t="s">
        <v>24</v>
      </c>
      <c r="B11" s="13" t="s">
        <v>8</v>
      </c>
      <c r="C11" s="14" t="s">
        <v>9</v>
      </c>
      <c r="D11" s="13" t="s">
        <v>8</v>
      </c>
      <c r="E11" s="14" t="s">
        <v>9</v>
      </c>
      <c r="F11" s="4" t="s">
        <v>8</v>
      </c>
      <c r="G11" s="14" t="s">
        <v>9</v>
      </c>
      <c r="H11" s="4" t="s">
        <v>8</v>
      </c>
      <c r="I11" s="14" t="s">
        <v>9</v>
      </c>
      <c r="J11" s="13" t="s">
        <v>8</v>
      </c>
      <c r="K11" s="14" t="s">
        <v>9</v>
      </c>
      <c r="L11" s="13" t="s">
        <v>8</v>
      </c>
      <c r="M11" s="14" t="s">
        <v>9</v>
      </c>
      <c r="N11" s="15" t="s">
        <v>8</v>
      </c>
      <c r="O11" s="16" t="s">
        <v>9</v>
      </c>
    </row>
    <row r="12" spans="1:16" ht="12.75" customHeight="1">
      <c r="A12" s="48" t="s">
        <v>21</v>
      </c>
      <c r="B12" s="45">
        <v>0</v>
      </c>
      <c r="C12" s="261">
        <f>19556.94</f>
        <v>19556.94</v>
      </c>
      <c r="D12" s="271">
        <v>0</v>
      </c>
      <c r="E12" s="261">
        <f>12006.84+13981.81</f>
        <v>25988.65</v>
      </c>
      <c r="F12" s="304">
        <v>0</v>
      </c>
      <c r="G12" s="261">
        <f>9967.35+5992.67+14036.39</f>
        <v>29996.41</v>
      </c>
      <c r="H12" s="271">
        <v>0</v>
      </c>
      <c r="I12" s="270">
        <f>7005.25+14052.79</f>
        <v>21058.04</v>
      </c>
      <c r="J12" s="304">
        <v>0</v>
      </c>
      <c r="K12" s="261">
        <f>8520.63+10215.78</f>
        <v>18736.41</v>
      </c>
      <c r="L12" s="271">
        <v>0</v>
      </c>
      <c r="M12" s="270">
        <f>12148.97</f>
        <v>12148.97</v>
      </c>
      <c r="N12" s="46">
        <f>(B12+D12+F12+H12+J12+L12)</f>
        <v>0</v>
      </c>
      <c r="O12" s="20">
        <f>(C12+E12+G12+I12+K12+M12)</f>
        <v>127485.42000000001</v>
      </c>
      <c r="P12" s="21"/>
    </row>
    <row r="13" spans="1:15" ht="12.75" customHeight="1">
      <c r="A13" s="48" t="s">
        <v>168</v>
      </c>
      <c r="B13" s="45">
        <v>0</v>
      </c>
      <c r="C13" s="261">
        <v>0</v>
      </c>
      <c r="D13" s="271">
        <v>0</v>
      </c>
      <c r="E13" s="261">
        <v>0</v>
      </c>
      <c r="F13" s="304">
        <v>0</v>
      </c>
      <c r="G13" s="261">
        <f>19955.27</f>
        <v>19955.27</v>
      </c>
      <c r="H13" s="271">
        <v>0</v>
      </c>
      <c r="I13" s="270">
        <v>0</v>
      </c>
      <c r="J13" s="305">
        <v>0</v>
      </c>
      <c r="K13" s="261">
        <v>0</v>
      </c>
      <c r="L13" s="271">
        <v>0</v>
      </c>
      <c r="M13" s="270">
        <v>19949.44</v>
      </c>
      <c r="N13" s="51">
        <f>(B13+D13+F13+H13+J13+L13)</f>
        <v>0</v>
      </c>
      <c r="O13" s="20">
        <f aca="true" t="shared" si="0" ref="O13:O26">(C13+E13+G13+I13+K13+M13)</f>
        <v>39904.71</v>
      </c>
    </row>
    <row r="14" spans="1:15" ht="12.75">
      <c r="A14" s="48" t="s">
        <v>22</v>
      </c>
      <c r="B14" s="45">
        <v>0</v>
      </c>
      <c r="C14" s="261">
        <f>6012.08</f>
        <v>6012.08</v>
      </c>
      <c r="D14" s="271">
        <v>0</v>
      </c>
      <c r="E14" s="261">
        <v>0</v>
      </c>
      <c r="F14" s="304">
        <v>0</v>
      </c>
      <c r="G14" s="261">
        <v>0</v>
      </c>
      <c r="H14" s="271">
        <v>0</v>
      </c>
      <c r="I14" s="270">
        <v>0</v>
      </c>
      <c r="J14" s="304">
        <v>0</v>
      </c>
      <c r="K14" s="261">
        <v>0</v>
      </c>
      <c r="L14" s="271">
        <v>0</v>
      </c>
      <c r="M14" s="270">
        <v>0</v>
      </c>
      <c r="N14" s="46">
        <f>(B14+D14+F14+H14+J14+L14)</f>
        <v>0</v>
      </c>
      <c r="O14" s="20">
        <f t="shared" si="0"/>
        <v>6012.08</v>
      </c>
    </row>
    <row r="15" spans="1:15" ht="12.75">
      <c r="A15" s="48" t="s">
        <v>23</v>
      </c>
      <c r="B15" s="45">
        <v>0</v>
      </c>
      <c r="C15" s="261">
        <v>0</v>
      </c>
      <c r="D15" s="271">
        <v>0</v>
      </c>
      <c r="E15" s="261">
        <v>0</v>
      </c>
      <c r="F15" s="304">
        <v>0</v>
      </c>
      <c r="G15" s="261">
        <f>14237.51+8126.15</f>
        <v>22363.66</v>
      </c>
      <c r="H15" s="271">
        <v>0</v>
      </c>
      <c r="I15" s="270">
        <f>6882.13+11998.57</f>
        <v>18880.7</v>
      </c>
      <c r="J15" s="304">
        <v>0</v>
      </c>
      <c r="K15" s="261">
        <v>0</v>
      </c>
      <c r="L15" s="271">
        <v>0</v>
      </c>
      <c r="M15" s="270">
        <v>0</v>
      </c>
      <c r="N15" s="46">
        <f>(B15+D15+F15+H15+J15+L15)</f>
        <v>0</v>
      </c>
      <c r="O15" s="20">
        <f t="shared" si="0"/>
        <v>41244.36</v>
      </c>
    </row>
    <row r="16" spans="1:15" ht="12.75">
      <c r="A16" s="48" t="s">
        <v>172</v>
      </c>
      <c r="B16" s="30">
        <v>1056</v>
      </c>
      <c r="C16" s="261">
        <v>81.77</v>
      </c>
      <c r="D16" s="272">
        <v>394</v>
      </c>
      <c r="E16" s="261">
        <v>32.841</v>
      </c>
      <c r="F16" s="305">
        <f>33+1333</f>
        <v>1366</v>
      </c>
      <c r="G16" s="261">
        <f>0.418+77.476</f>
        <v>77.894</v>
      </c>
      <c r="H16" s="272">
        <v>1523</v>
      </c>
      <c r="I16" s="270">
        <v>68.73</v>
      </c>
      <c r="J16" s="305">
        <v>745</v>
      </c>
      <c r="K16" s="261">
        <v>68.222</v>
      </c>
      <c r="L16" s="272">
        <v>1323</v>
      </c>
      <c r="M16" s="270">
        <v>85.032</v>
      </c>
      <c r="N16" s="51">
        <f>(B16+D16+F16+H16+J16+L16)</f>
        <v>6407</v>
      </c>
      <c r="O16" s="20">
        <f t="shared" si="0"/>
        <v>414.489</v>
      </c>
    </row>
    <row r="17" spans="1:15" ht="12.75">
      <c r="A17" s="48" t="s">
        <v>47</v>
      </c>
      <c r="B17" s="30">
        <v>0</v>
      </c>
      <c r="C17" s="261">
        <v>0</v>
      </c>
      <c r="D17" s="272">
        <v>0</v>
      </c>
      <c r="E17" s="261">
        <v>0</v>
      </c>
      <c r="F17" s="304">
        <v>0</v>
      </c>
      <c r="G17" s="261">
        <v>0</v>
      </c>
      <c r="H17" s="272">
        <v>0</v>
      </c>
      <c r="I17" s="270">
        <v>0</v>
      </c>
      <c r="J17" s="305">
        <v>0</v>
      </c>
      <c r="K17" s="261">
        <v>0</v>
      </c>
      <c r="L17" s="272">
        <v>0</v>
      </c>
      <c r="M17" s="270">
        <v>0</v>
      </c>
      <c r="N17" s="51">
        <f aca="true" t="shared" si="1" ref="N17:N26">(B17+D17+F17+H17+J17+L17)</f>
        <v>0</v>
      </c>
      <c r="O17" s="20">
        <f t="shared" si="0"/>
        <v>0</v>
      </c>
    </row>
    <row r="18" spans="1:15" ht="12.75">
      <c r="A18" s="49" t="s">
        <v>169</v>
      </c>
      <c r="B18" s="30">
        <v>0</v>
      </c>
      <c r="C18" s="261">
        <v>0</v>
      </c>
      <c r="D18" s="272">
        <v>0</v>
      </c>
      <c r="E18" s="261">
        <v>0</v>
      </c>
      <c r="F18" s="305">
        <v>0</v>
      </c>
      <c r="G18" s="261">
        <v>0</v>
      </c>
      <c r="H18" s="272">
        <v>0</v>
      </c>
      <c r="I18" s="270">
        <v>0</v>
      </c>
      <c r="J18" s="305">
        <f>20+35</f>
        <v>55</v>
      </c>
      <c r="K18" s="261">
        <f>704.76+892.31</f>
        <v>1597.07</v>
      </c>
      <c r="L18" s="272">
        <v>0</v>
      </c>
      <c r="M18" s="270">
        <v>0</v>
      </c>
      <c r="N18" s="51">
        <f t="shared" si="1"/>
        <v>55</v>
      </c>
      <c r="O18" s="20">
        <f t="shared" si="0"/>
        <v>1597.07</v>
      </c>
    </row>
    <row r="19" spans="1:15" ht="12.75">
      <c r="A19" s="49" t="s">
        <v>32</v>
      </c>
      <c r="B19" s="30">
        <v>0</v>
      </c>
      <c r="C19" s="261">
        <v>0</v>
      </c>
      <c r="D19" s="272">
        <v>0</v>
      </c>
      <c r="E19" s="270">
        <v>0</v>
      </c>
      <c r="F19" s="304">
        <v>0</v>
      </c>
      <c r="G19" s="261">
        <v>0</v>
      </c>
      <c r="H19" s="272">
        <v>0</v>
      </c>
      <c r="I19" s="270">
        <v>0</v>
      </c>
      <c r="J19" s="305">
        <v>0</v>
      </c>
      <c r="K19" s="261">
        <v>0</v>
      </c>
      <c r="L19" s="271">
        <v>0</v>
      </c>
      <c r="M19" s="270">
        <v>0</v>
      </c>
      <c r="N19" s="51">
        <f t="shared" si="1"/>
        <v>0</v>
      </c>
      <c r="O19" s="20">
        <f t="shared" si="0"/>
        <v>0</v>
      </c>
    </row>
    <row r="20" spans="1:15" ht="12.75" customHeight="1">
      <c r="A20" s="49" t="s">
        <v>30</v>
      </c>
      <c r="B20" s="45">
        <v>0</v>
      </c>
      <c r="C20" s="261">
        <v>0</v>
      </c>
      <c r="D20" s="272">
        <v>0</v>
      </c>
      <c r="E20" s="270">
        <v>0</v>
      </c>
      <c r="F20" s="304">
        <v>0</v>
      </c>
      <c r="G20" s="261">
        <v>0</v>
      </c>
      <c r="H20" s="272">
        <v>0</v>
      </c>
      <c r="I20" s="270">
        <v>0</v>
      </c>
      <c r="J20" s="304">
        <f>0</f>
        <v>0</v>
      </c>
      <c r="K20" s="261">
        <f>10192.86</f>
        <v>10192.86</v>
      </c>
      <c r="L20" s="271">
        <v>0</v>
      </c>
      <c r="M20" s="270">
        <v>0</v>
      </c>
      <c r="N20" s="51">
        <f t="shared" si="1"/>
        <v>0</v>
      </c>
      <c r="O20" s="20">
        <f t="shared" si="0"/>
        <v>10192.86</v>
      </c>
    </row>
    <row r="21" spans="1:15" ht="12.75" customHeight="1">
      <c r="A21" s="49" t="s">
        <v>34</v>
      </c>
      <c r="B21" s="45">
        <v>0</v>
      </c>
      <c r="C21" s="261">
        <v>0</v>
      </c>
      <c r="D21" s="272">
        <v>0</v>
      </c>
      <c r="E21" s="270">
        <v>0</v>
      </c>
      <c r="F21" s="305">
        <v>0</v>
      </c>
      <c r="G21" s="261">
        <v>0</v>
      </c>
      <c r="H21" s="272">
        <v>0</v>
      </c>
      <c r="I21" s="270">
        <v>0</v>
      </c>
      <c r="J21" s="304">
        <v>0</v>
      </c>
      <c r="K21" s="261">
        <v>0</v>
      </c>
      <c r="L21" s="271">
        <v>0</v>
      </c>
      <c r="M21" s="270">
        <v>0</v>
      </c>
      <c r="N21" s="51">
        <f t="shared" si="1"/>
        <v>0</v>
      </c>
      <c r="O21" s="20">
        <f t="shared" si="0"/>
        <v>0</v>
      </c>
    </row>
    <row r="22" spans="1:15" ht="12.75" customHeight="1">
      <c r="A22" s="49" t="s">
        <v>33</v>
      </c>
      <c r="B22" s="30">
        <v>0</v>
      </c>
      <c r="C22" s="261">
        <v>0</v>
      </c>
      <c r="D22" s="272">
        <v>0</v>
      </c>
      <c r="E22" s="270">
        <v>0</v>
      </c>
      <c r="F22" s="272">
        <v>0</v>
      </c>
      <c r="G22" s="261">
        <v>0</v>
      </c>
      <c r="H22" s="272">
        <v>0</v>
      </c>
      <c r="I22" s="270">
        <v>0</v>
      </c>
      <c r="J22" s="305">
        <v>0</v>
      </c>
      <c r="K22" s="261">
        <v>0</v>
      </c>
      <c r="L22" s="272">
        <v>0</v>
      </c>
      <c r="M22" s="270">
        <v>0</v>
      </c>
      <c r="N22" s="51">
        <f t="shared" si="1"/>
        <v>0</v>
      </c>
      <c r="O22" s="20">
        <f>(C22+E22+G22+I22+K22+M22)</f>
        <v>0</v>
      </c>
    </row>
    <row r="23" spans="1:15" ht="12.75" customHeight="1">
      <c r="A23" s="49" t="s">
        <v>20</v>
      </c>
      <c r="B23" s="30"/>
      <c r="C23" s="261">
        <v>0</v>
      </c>
      <c r="D23" s="272">
        <f>2</f>
        <v>2</v>
      </c>
      <c r="E23" s="270">
        <f>2.814</f>
        <v>2.814</v>
      </c>
      <c r="F23" s="272">
        <f>360+1465+250+1591</f>
        <v>3666</v>
      </c>
      <c r="G23" s="261">
        <f>324.22+1592.05+225.15+1727.75</f>
        <v>3869.17</v>
      </c>
      <c r="H23" s="272">
        <f>290+1333+300</f>
        <v>1923</v>
      </c>
      <c r="I23" s="270">
        <f>261.25+1449.022+270.1</f>
        <v>1980.3719999999998</v>
      </c>
      <c r="J23" s="305">
        <f>320+573+303+300+3+300</f>
        <v>1799</v>
      </c>
      <c r="K23" s="261">
        <f>288.12+624.29+329.434+270.3+4.089+270.3</f>
        <v>1786.533</v>
      </c>
      <c r="L23" s="272">
        <f>420+1298+1</f>
        <v>1719</v>
      </c>
      <c r="M23" s="270">
        <f>378.12+1414.232+5.3</f>
        <v>1797.6519999999998</v>
      </c>
      <c r="N23" s="51">
        <f t="shared" si="1"/>
        <v>9109</v>
      </c>
      <c r="O23" s="20">
        <f t="shared" si="0"/>
        <v>9436.541</v>
      </c>
    </row>
    <row r="24" spans="1:15" ht="12.75" customHeight="1">
      <c r="A24" s="49" t="s">
        <v>156</v>
      </c>
      <c r="B24" s="30">
        <v>0</v>
      </c>
      <c r="C24" s="261">
        <v>0</v>
      </c>
      <c r="D24" s="272">
        <v>0</v>
      </c>
      <c r="E24" s="270">
        <v>0</v>
      </c>
      <c r="F24" s="272">
        <v>0</v>
      </c>
      <c r="G24" s="261">
        <v>0</v>
      </c>
      <c r="H24" s="272">
        <v>0</v>
      </c>
      <c r="I24" s="270">
        <v>0</v>
      </c>
      <c r="J24" s="305">
        <v>0</v>
      </c>
      <c r="K24" s="261">
        <v>0</v>
      </c>
      <c r="L24" s="272">
        <v>0</v>
      </c>
      <c r="M24" s="270">
        <v>0</v>
      </c>
      <c r="N24" s="51">
        <f t="shared" si="1"/>
        <v>0</v>
      </c>
      <c r="O24" s="20">
        <f t="shared" si="0"/>
        <v>0</v>
      </c>
    </row>
    <row r="25" spans="1:15" ht="12.75" customHeight="1">
      <c r="A25" s="49" t="s">
        <v>45</v>
      </c>
      <c r="B25" s="30">
        <v>0</v>
      </c>
      <c r="C25" s="261">
        <v>0</v>
      </c>
      <c r="D25" s="272">
        <v>0</v>
      </c>
      <c r="E25" s="270">
        <v>0</v>
      </c>
      <c r="F25" s="272">
        <v>0</v>
      </c>
      <c r="G25" s="261">
        <v>0</v>
      </c>
      <c r="H25" s="272">
        <v>0</v>
      </c>
      <c r="I25" s="270">
        <v>0</v>
      </c>
      <c r="J25" s="305">
        <f>37+3</f>
        <v>40</v>
      </c>
      <c r="K25" s="261">
        <f>350.54+37.08</f>
        <v>387.62</v>
      </c>
      <c r="L25" s="272">
        <v>0</v>
      </c>
      <c r="M25" s="270">
        <v>0</v>
      </c>
      <c r="N25" s="51">
        <f t="shared" si="1"/>
        <v>40</v>
      </c>
      <c r="O25" s="20">
        <f t="shared" si="0"/>
        <v>387.62</v>
      </c>
    </row>
    <row r="26" spans="1:15" ht="12.75" customHeight="1">
      <c r="A26" s="49" t="s">
        <v>46</v>
      </c>
      <c r="B26" s="30">
        <v>0</v>
      </c>
      <c r="C26" s="261">
        <v>0</v>
      </c>
      <c r="D26" s="272">
        <v>0</v>
      </c>
      <c r="E26" s="270">
        <v>0</v>
      </c>
      <c r="F26" s="272">
        <v>0</v>
      </c>
      <c r="G26" s="261">
        <v>0</v>
      </c>
      <c r="H26" s="272">
        <v>0</v>
      </c>
      <c r="I26" s="270">
        <v>0</v>
      </c>
      <c r="J26" s="304">
        <v>0</v>
      </c>
      <c r="K26" s="261">
        <v>0</v>
      </c>
      <c r="L26" s="31">
        <v>0</v>
      </c>
      <c r="M26" s="19">
        <v>0</v>
      </c>
      <c r="N26" s="51">
        <f t="shared" si="1"/>
        <v>0</v>
      </c>
      <c r="O26" s="20">
        <f t="shared" si="0"/>
        <v>0</v>
      </c>
    </row>
    <row r="27" spans="1:15" ht="12.75" customHeight="1">
      <c r="A27" s="49" t="s">
        <v>170</v>
      </c>
      <c r="B27" s="30">
        <v>0</v>
      </c>
      <c r="C27" s="18">
        <v>0</v>
      </c>
      <c r="D27" s="31">
        <v>0</v>
      </c>
      <c r="E27" s="19">
        <v>0</v>
      </c>
      <c r="F27" s="259">
        <v>0</v>
      </c>
      <c r="G27" s="258">
        <v>0</v>
      </c>
      <c r="H27" s="31">
        <v>0</v>
      </c>
      <c r="I27" s="19">
        <v>0</v>
      </c>
      <c r="J27" s="45">
        <v>0</v>
      </c>
      <c r="K27" s="18">
        <v>0</v>
      </c>
      <c r="L27" s="31">
        <v>0</v>
      </c>
      <c r="M27" s="19">
        <v>0</v>
      </c>
      <c r="N27" s="51">
        <f>(B27+D27+F27+H27+J27+L27)</f>
        <v>0</v>
      </c>
      <c r="O27" s="20">
        <f>SUM(C27,E27,G27,I27,K27,M27)</f>
        <v>0</v>
      </c>
    </row>
    <row r="28" spans="1:15" s="23" customFormat="1" ht="12.75" customHeight="1">
      <c r="A28" s="12" t="s">
        <v>10</v>
      </c>
      <c r="B28" s="70">
        <f aca="true" t="shared" si="2" ref="B28:O28">SUM(B12:B27)</f>
        <v>1056</v>
      </c>
      <c r="C28" s="71">
        <f t="shared" si="2"/>
        <v>25650.789999999997</v>
      </c>
      <c r="D28" s="70">
        <f t="shared" si="2"/>
        <v>396</v>
      </c>
      <c r="E28" s="71">
        <f t="shared" si="2"/>
        <v>26024.305</v>
      </c>
      <c r="F28" s="73">
        <f t="shared" si="2"/>
        <v>5032</v>
      </c>
      <c r="G28" s="74">
        <f t="shared" si="2"/>
        <v>76262.404</v>
      </c>
      <c r="H28" s="70">
        <f t="shared" si="2"/>
        <v>3446</v>
      </c>
      <c r="I28" s="74">
        <f t="shared" si="2"/>
        <v>41987.84200000001</v>
      </c>
      <c r="J28" s="70">
        <f t="shared" si="2"/>
        <v>2639</v>
      </c>
      <c r="K28" s="74">
        <f>SUM(K12:K27)</f>
        <v>32768.715000000004</v>
      </c>
      <c r="L28" s="70">
        <f t="shared" si="2"/>
        <v>3042</v>
      </c>
      <c r="M28" s="75">
        <f>SUM(M12:M27)</f>
        <v>33981.094</v>
      </c>
      <c r="N28" s="70">
        <f t="shared" si="2"/>
        <v>15611</v>
      </c>
      <c r="O28" s="74">
        <f t="shared" si="2"/>
        <v>236675.15</v>
      </c>
    </row>
    <row r="29" spans="1:15" ht="12.75">
      <c r="A29" s="24"/>
      <c r="B29" s="25"/>
      <c r="C29" s="26"/>
      <c r="D29" s="25"/>
      <c r="E29" s="26"/>
      <c r="F29" s="25"/>
      <c r="G29" s="27"/>
      <c r="H29" s="25"/>
      <c r="I29" s="27"/>
      <c r="J29" s="25"/>
      <c r="K29" s="27"/>
      <c r="L29" s="25"/>
      <c r="M29" s="27"/>
      <c r="N29" s="28"/>
      <c r="O29" s="28"/>
    </row>
    <row r="30" spans="1:15" ht="12.75">
      <c r="A30" s="4" t="s">
        <v>0</v>
      </c>
      <c r="B30" s="5" t="s">
        <v>1</v>
      </c>
      <c r="C30" s="6"/>
      <c r="D30" s="7" t="s">
        <v>2</v>
      </c>
      <c r="E30" s="8"/>
      <c r="F30" s="7" t="s">
        <v>3</v>
      </c>
      <c r="G30" s="9"/>
      <c r="H30" s="5" t="s">
        <v>4</v>
      </c>
      <c r="I30" s="9"/>
      <c r="J30" s="5" t="s">
        <v>5</v>
      </c>
      <c r="K30" s="9"/>
      <c r="L30" s="5" t="s">
        <v>6</v>
      </c>
      <c r="M30" s="9"/>
      <c r="N30" s="10" t="s">
        <v>19</v>
      </c>
      <c r="O30" s="11"/>
    </row>
    <row r="31" spans="1:15" ht="12.75">
      <c r="A31" s="12" t="s">
        <v>11</v>
      </c>
      <c r="B31" s="13" t="s">
        <v>8</v>
      </c>
      <c r="C31" s="29" t="s">
        <v>9</v>
      </c>
      <c r="D31" s="13" t="s">
        <v>8</v>
      </c>
      <c r="E31" s="29" t="s">
        <v>9</v>
      </c>
      <c r="F31" s="13" t="s">
        <v>8</v>
      </c>
      <c r="G31" s="14" t="s">
        <v>9</v>
      </c>
      <c r="H31" s="4" t="s">
        <v>8</v>
      </c>
      <c r="I31" s="14" t="s">
        <v>9</v>
      </c>
      <c r="J31" s="4" t="s">
        <v>8</v>
      </c>
      <c r="K31" s="14" t="s">
        <v>9</v>
      </c>
      <c r="L31" s="4" t="s">
        <v>8</v>
      </c>
      <c r="M31" s="14" t="s">
        <v>9</v>
      </c>
      <c r="N31" s="15" t="s">
        <v>8</v>
      </c>
      <c r="O31" s="16" t="s">
        <v>9</v>
      </c>
    </row>
    <row r="32" spans="1:15" ht="12.75">
      <c r="A32" s="22" t="s">
        <v>20</v>
      </c>
      <c r="B32" s="30">
        <f>552+1000</f>
        <v>1552</v>
      </c>
      <c r="C32" s="306">
        <f>964.369+1156.292</f>
        <v>2120.661</v>
      </c>
      <c r="D32" s="307">
        <f>767+964</f>
        <v>1731</v>
      </c>
      <c r="E32" s="308">
        <f>1368.247+1299.71</f>
        <v>2667.9570000000003</v>
      </c>
      <c r="F32" s="272">
        <f>152+649+480+499+1847+384+1461+168</f>
        <v>5640</v>
      </c>
      <c r="G32" s="269">
        <f>203.208+748.615+920.442+538.68+2153.497+750.761+1560.01+267.191</f>
        <v>7142.4039999999995</v>
      </c>
      <c r="H32" s="273">
        <f>585+258+191+636+450+575+57</f>
        <v>2752</v>
      </c>
      <c r="I32" s="269">
        <f>636.22+301.977+239.01+688.11+882.622+627.97+53.672</f>
        <v>3429.5809999999997</v>
      </c>
      <c r="J32" s="273">
        <f>498+34+167+1050+347+340+510+500+714+109+91+40+196</f>
        <v>4596</v>
      </c>
      <c r="K32" s="269">
        <f>554.07+48.683+213.968+1129.15+659.617+331.341+980.842+562.71+689.576+135.634+113.284+46.11+381.964</f>
        <v>5846.949</v>
      </c>
      <c r="L32" s="273">
        <f>248+216+1235</f>
        <v>1699</v>
      </c>
      <c r="M32" s="269">
        <f>284.5+420.264+1849.792</f>
        <v>2554.556</v>
      </c>
      <c r="N32" s="50">
        <f aca="true" t="shared" si="3" ref="N32:N38">SUM(+B32+D32+F32+H32+J32+L32)</f>
        <v>17970</v>
      </c>
      <c r="O32" s="33">
        <f>(+C32+E32+G32+I32+K32+M32)</f>
        <v>23762.108</v>
      </c>
    </row>
    <row r="33" spans="1:15" ht="12.75">
      <c r="A33" s="22" t="s">
        <v>172</v>
      </c>
      <c r="B33" s="30">
        <v>12267</v>
      </c>
      <c r="C33" s="306">
        <v>323.731</v>
      </c>
      <c r="D33" s="305">
        <f>132+7811</f>
        <v>7943</v>
      </c>
      <c r="E33" s="308">
        <f>13.404+322.035</f>
        <v>335.439</v>
      </c>
      <c r="F33" s="272">
        <f>278+7804</f>
        <v>8082</v>
      </c>
      <c r="G33" s="269">
        <f>4.542+381.583</f>
        <v>386.125</v>
      </c>
      <c r="H33" s="273">
        <v>8552</v>
      </c>
      <c r="I33" s="269">
        <v>258.884</v>
      </c>
      <c r="J33" s="273">
        <v>6897</v>
      </c>
      <c r="K33" s="309">
        <v>338.145</v>
      </c>
      <c r="L33" s="272">
        <f>519+14032</f>
        <v>14551</v>
      </c>
      <c r="M33" s="269">
        <f>6.392+457.566</f>
        <v>463.95799999999997</v>
      </c>
      <c r="N33" s="50">
        <f t="shared" si="3"/>
        <v>58292</v>
      </c>
      <c r="O33" s="33">
        <f aca="true" t="shared" si="4" ref="O33:O38">(+C33+E33+G33+I33+K33+M33)</f>
        <v>2106.282</v>
      </c>
    </row>
    <row r="34" spans="1:15" ht="12.75">
      <c r="A34" s="22" t="s">
        <v>29</v>
      </c>
      <c r="B34" s="30">
        <v>0</v>
      </c>
      <c r="C34" s="306">
        <v>0</v>
      </c>
      <c r="D34" s="305">
        <v>0</v>
      </c>
      <c r="E34" s="308">
        <v>0</v>
      </c>
      <c r="F34" s="272">
        <v>0</v>
      </c>
      <c r="G34" s="269">
        <v>0</v>
      </c>
      <c r="H34" s="272">
        <v>0</v>
      </c>
      <c r="I34" s="269">
        <v>0</v>
      </c>
      <c r="J34" s="273">
        <v>0</v>
      </c>
      <c r="K34" s="269">
        <v>0</v>
      </c>
      <c r="L34" s="272">
        <f>4752+6061</f>
        <v>10813</v>
      </c>
      <c r="M34" s="269">
        <f>1110.04+1487.74</f>
        <v>2597.7799999999997</v>
      </c>
      <c r="N34" s="54">
        <f t="shared" si="3"/>
        <v>10813</v>
      </c>
      <c r="O34" s="33">
        <f>(+C34+E34+G34+I34+K34+M34)</f>
        <v>2597.7799999999997</v>
      </c>
    </row>
    <row r="35" spans="1:15" ht="12.75">
      <c r="A35" s="34" t="s">
        <v>169</v>
      </c>
      <c r="B35" s="30">
        <v>0</v>
      </c>
      <c r="C35" s="310">
        <v>0</v>
      </c>
      <c r="D35" s="305">
        <v>0</v>
      </c>
      <c r="E35" s="308">
        <v>0</v>
      </c>
      <c r="F35" s="272">
        <f>3+4</f>
        <v>7</v>
      </c>
      <c r="G35" s="269">
        <f>108+16.15</f>
        <v>124.15</v>
      </c>
      <c r="H35" s="311">
        <v>0</v>
      </c>
      <c r="I35" s="269">
        <v>0</v>
      </c>
      <c r="J35" s="273">
        <v>0</v>
      </c>
      <c r="K35" s="269">
        <v>0</v>
      </c>
      <c r="L35" s="272">
        <v>1</v>
      </c>
      <c r="M35" s="269">
        <v>70</v>
      </c>
      <c r="N35" s="54">
        <f t="shared" si="3"/>
        <v>8</v>
      </c>
      <c r="O35" s="33">
        <f>(+C35+E35+G35+I35+K35+M35)</f>
        <v>194.15</v>
      </c>
    </row>
    <row r="36" spans="1:15" ht="12.75">
      <c r="A36" s="22" t="s">
        <v>27</v>
      </c>
      <c r="B36" s="30">
        <v>0</v>
      </c>
      <c r="C36" s="306">
        <v>0</v>
      </c>
      <c r="D36" s="305">
        <v>0</v>
      </c>
      <c r="E36" s="308">
        <v>0</v>
      </c>
      <c r="F36" s="272">
        <v>0</v>
      </c>
      <c r="G36" s="269">
        <v>0</v>
      </c>
      <c r="H36" s="272">
        <v>0</v>
      </c>
      <c r="I36" s="269">
        <v>0</v>
      </c>
      <c r="J36" s="273">
        <v>0</v>
      </c>
      <c r="K36" s="269">
        <v>0</v>
      </c>
      <c r="L36" s="272">
        <f>154+2081</f>
        <v>2235</v>
      </c>
      <c r="M36" s="269">
        <f>40.52+1088.382</f>
        <v>1128.902</v>
      </c>
      <c r="N36" s="50">
        <f t="shared" si="3"/>
        <v>2235</v>
      </c>
      <c r="O36" s="33">
        <f t="shared" si="4"/>
        <v>1128.902</v>
      </c>
    </row>
    <row r="37" spans="1:15" ht="12.75">
      <c r="A37" s="22" t="s">
        <v>202</v>
      </c>
      <c r="B37" s="30">
        <v>0</v>
      </c>
      <c r="C37" s="306">
        <v>0</v>
      </c>
      <c r="D37" s="305">
        <v>0</v>
      </c>
      <c r="E37" s="308">
        <v>0</v>
      </c>
      <c r="F37" s="272">
        <f>2</f>
        <v>2</v>
      </c>
      <c r="G37" s="269">
        <f>11.21</f>
        <v>11.21</v>
      </c>
      <c r="H37" s="271">
        <v>0</v>
      </c>
      <c r="I37" s="269">
        <v>0</v>
      </c>
      <c r="J37" s="312">
        <v>0</v>
      </c>
      <c r="K37" s="269">
        <v>0</v>
      </c>
      <c r="L37" s="271">
        <v>0</v>
      </c>
      <c r="M37" s="269">
        <v>0</v>
      </c>
      <c r="N37" s="50">
        <f t="shared" si="3"/>
        <v>2</v>
      </c>
      <c r="O37" s="33">
        <f t="shared" si="4"/>
        <v>11.21</v>
      </c>
    </row>
    <row r="38" spans="1:15" ht="12.75">
      <c r="A38" s="346" t="s">
        <v>163</v>
      </c>
      <c r="B38" s="30">
        <v>0</v>
      </c>
      <c r="C38" s="306">
        <v>0</v>
      </c>
      <c r="D38" s="305">
        <v>0</v>
      </c>
      <c r="E38" s="308">
        <v>0</v>
      </c>
      <c r="F38" s="272">
        <v>4</v>
      </c>
      <c r="G38" s="269">
        <f>25.99</f>
        <v>25.99</v>
      </c>
      <c r="H38" s="272">
        <v>0</v>
      </c>
      <c r="I38" s="269">
        <v>0</v>
      </c>
      <c r="J38" s="273">
        <v>0</v>
      </c>
      <c r="K38" s="269">
        <v>0</v>
      </c>
      <c r="L38" s="272">
        <v>0</v>
      </c>
      <c r="M38" s="269">
        <v>0</v>
      </c>
      <c r="N38" s="50">
        <f t="shared" si="3"/>
        <v>4</v>
      </c>
      <c r="O38" s="33">
        <f t="shared" si="4"/>
        <v>25.99</v>
      </c>
    </row>
    <row r="39" spans="1:15" ht="12.75">
      <c r="A39" s="346" t="s">
        <v>33</v>
      </c>
      <c r="B39" s="30">
        <v>0</v>
      </c>
      <c r="C39" s="306">
        <v>0</v>
      </c>
      <c r="D39" s="305">
        <v>0</v>
      </c>
      <c r="E39" s="308">
        <v>0</v>
      </c>
      <c r="F39" s="272">
        <v>0</v>
      </c>
      <c r="G39" s="269">
        <v>0</v>
      </c>
      <c r="H39" s="272">
        <v>0</v>
      </c>
      <c r="I39" s="269">
        <v>0</v>
      </c>
      <c r="J39" s="273">
        <v>0</v>
      </c>
      <c r="K39" s="269">
        <v>0</v>
      </c>
      <c r="L39" s="272">
        <v>0</v>
      </c>
      <c r="M39" s="269">
        <v>0</v>
      </c>
      <c r="N39" s="50">
        <f>SUM(B39,D39,F39,H39,J39,L39)</f>
        <v>0</v>
      </c>
      <c r="O39" s="33">
        <f>SUM(C39,E39,G39,I39,K39,M39)</f>
        <v>0</v>
      </c>
    </row>
    <row r="40" spans="1:15" ht="12.75">
      <c r="A40" s="12" t="s">
        <v>10</v>
      </c>
      <c r="B40" s="70">
        <f aca="true" t="shared" si="5" ref="B40:O40">SUM(B32:B39)</f>
        <v>13819</v>
      </c>
      <c r="C40" s="71">
        <f t="shared" si="5"/>
        <v>2444.392</v>
      </c>
      <c r="D40" s="70">
        <f t="shared" si="5"/>
        <v>9674</v>
      </c>
      <c r="E40" s="72">
        <f t="shared" si="5"/>
        <v>3003.396</v>
      </c>
      <c r="F40" s="70">
        <f t="shared" si="5"/>
        <v>13735</v>
      </c>
      <c r="G40" s="74">
        <f t="shared" si="5"/>
        <v>7689.878999999999</v>
      </c>
      <c r="H40" s="70">
        <f t="shared" si="5"/>
        <v>11304</v>
      </c>
      <c r="I40" s="74">
        <f t="shared" si="5"/>
        <v>3688.4649999999997</v>
      </c>
      <c r="J40" s="70">
        <f t="shared" si="5"/>
        <v>11493</v>
      </c>
      <c r="K40" s="74">
        <f>SUM(K32:K39)</f>
        <v>6185.093999999999</v>
      </c>
      <c r="L40" s="70">
        <f>SUM(L32:L39)</f>
        <v>29299</v>
      </c>
      <c r="M40" s="74">
        <f t="shared" si="5"/>
        <v>6815.196</v>
      </c>
      <c r="N40" s="70">
        <f t="shared" si="5"/>
        <v>89324</v>
      </c>
      <c r="O40" s="74">
        <f t="shared" si="5"/>
        <v>29826.422000000002</v>
      </c>
    </row>
    <row r="41" spans="1:15" ht="12.75">
      <c r="A41" s="38"/>
      <c r="B41" s="17" t="s">
        <v>12</v>
      </c>
      <c r="C41" s="19"/>
      <c r="E41" s="19"/>
      <c r="F41" s="52"/>
      <c r="G41" s="32"/>
      <c r="H41" s="44"/>
      <c r="I41" s="32"/>
      <c r="J41" s="39"/>
      <c r="K41" s="32"/>
      <c r="L41" s="39"/>
      <c r="M41" s="32"/>
      <c r="N41" s="36"/>
      <c r="O41" s="33"/>
    </row>
    <row r="42" spans="1:15" ht="12.75">
      <c r="A42" s="37" t="s">
        <v>13</v>
      </c>
      <c r="B42" s="68">
        <f>B40+B28</f>
        <v>14875</v>
      </c>
      <c r="C42" s="69">
        <f>C40+C28</f>
        <v>28095.181999999997</v>
      </c>
      <c r="D42" s="68">
        <f>D40+D28</f>
        <v>10070</v>
      </c>
      <c r="E42" s="69">
        <f aca="true" t="shared" si="6" ref="E42:O42">SUM(+E28+E40)</f>
        <v>29027.701</v>
      </c>
      <c r="F42" s="68">
        <f t="shared" si="6"/>
        <v>18767</v>
      </c>
      <c r="G42" s="69">
        <f t="shared" si="6"/>
        <v>83952.283</v>
      </c>
      <c r="H42" s="68">
        <f t="shared" si="6"/>
        <v>14750</v>
      </c>
      <c r="I42" s="69">
        <f t="shared" si="6"/>
        <v>45676.30700000001</v>
      </c>
      <c r="J42" s="68">
        <f t="shared" si="6"/>
        <v>14132</v>
      </c>
      <c r="K42" s="69">
        <f t="shared" si="6"/>
        <v>38953.809</v>
      </c>
      <c r="L42" s="68">
        <f t="shared" si="6"/>
        <v>32341</v>
      </c>
      <c r="M42" s="69">
        <f t="shared" si="6"/>
        <v>40796.28999999999</v>
      </c>
      <c r="N42" s="76">
        <f t="shared" si="6"/>
        <v>104935</v>
      </c>
      <c r="O42" s="77">
        <f t="shared" si="6"/>
        <v>266501.572</v>
      </c>
    </row>
    <row r="43" spans="1:15" ht="12.75">
      <c r="A43" s="66"/>
      <c r="C43" s="2"/>
      <c r="E43" s="40"/>
      <c r="O43" s="53"/>
    </row>
    <row r="44" spans="2:15" ht="15">
      <c r="B44" s="1"/>
      <c r="C44" s="61"/>
      <c r="D44" s="1"/>
      <c r="E44" s="284"/>
      <c r="F44" s="257"/>
      <c r="G44" s="260"/>
      <c r="H44" s="1"/>
      <c r="I44" s="1"/>
      <c r="J44" s="1"/>
      <c r="K44" s="266"/>
      <c r="L44" s="1"/>
      <c r="M44" s="42"/>
      <c r="O44" s="42"/>
    </row>
    <row r="45" spans="1:15" ht="12.75">
      <c r="A45" s="65"/>
      <c r="B45" s="1"/>
      <c r="C45" s="61"/>
      <c r="D45" s="1"/>
      <c r="E45" s="42"/>
      <c r="F45" s="1"/>
      <c r="G45" s="1"/>
      <c r="H45" s="1"/>
      <c r="I45" s="1"/>
      <c r="J45" s="1"/>
      <c r="K45" s="1"/>
      <c r="L45" s="1"/>
      <c r="M45" s="42"/>
      <c r="O45" s="42"/>
    </row>
    <row r="46" spans="2:15" ht="12.75">
      <c r="B46" s="1"/>
      <c r="C46" s="61"/>
      <c r="D46" s="1"/>
      <c r="E46" s="42"/>
      <c r="F46" s="1"/>
      <c r="G46" s="1"/>
      <c r="H46" s="1"/>
      <c r="I46" s="1"/>
      <c r="J46" s="1"/>
      <c r="K46" s="1"/>
      <c r="L46" s="1"/>
      <c r="M46" s="313"/>
      <c r="O46" s="42"/>
    </row>
    <row r="47" spans="2:15" ht="12.75">
      <c r="B47" s="1"/>
      <c r="C47" s="61"/>
      <c r="D47" s="1"/>
      <c r="E47" s="42"/>
      <c r="F47" s="1"/>
      <c r="G47" s="1"/>
      <c r="H47" s="1"/>
      <c r="I47" s="1"/>
      <c r="J47" s="1"/>
      <c r="K47" s="1"/>
      <c r="L47" s="1"/>
      <c r="M47" s="42"/>
      <c r="O47" s="42"/>
    </row>
    <row r="48" spans="2:15" ht="12.75">
      <c r="B48" s="1"/>
      <c r="C48" s="61"/>
      <c r="D48" s="1"/>
      <c r="E48" s="42"/>
      <c r="F48" s="1"/>
      <c r="G48" s="1"/>
      <c r="H48" s="1"/>
      <c r="I48" s="1"/>
      <c r="J48" s="1"/>
      <c r="K48" s="1"/>
      <c r="L48" s="1"/>
      <c r="M48" s="42"/>
      <c r="O48" s="42"/>
    </row>
    <row r="49" spans="2:15" ht="12.75">
      <c r="B49" s="1"/>
      <c r="C49" s="61"/>
      <c r="D49" s="257"/>
      <c r="E49" s="42"/>
      <c r="F49" s="1"/>
      <c r="G49" s="1"/>
      <c r="H49" s="1"/>
      <c r="I49" s="1"/>
      <c r="J49" s="1"/>
      <c r="K49" s="1"/>
      <c r="L49" s="1"/>
      <c r="M49" s="42"/>
      <c r="O49" s="42"/>
    </row>
    <row r="50" spans="2:15" ht="12.75">
      <c r="B50" s="1"/>
      <c r="C50" s="61"/>
      <c r="D50" s="1"/>
      <c r="E50" s="42"/>
      <c r="F50" s="1"/>
      <c r="G50" s="1"/>
      <c r="H50" s="1"/>
      <c r="I50" s="1"/>
      <c r="J50" s="1"/>
      <c r="K50" s="1"/>
      <c r="L50" s="1"/>
      <c r="M50" s="42"/>
      <c r="O50" s="42"/>
    </row>
    <row r="51" spans="2:15" ht="12.75">
      <c r="B51" s="1"/>
      <c r="C51" s="61"/>
      <c r="D51" s="1"/>
      <c r="E51" s="42"/>
      <c r="F51" s="1"/>
      <c r="G51" s="1"/>
      <c r="H51" s="1"/>
      <c r="I51" s="1"/>
      <c r="J51" s="1"/>
      <c r="K51" s="1"/>
      <c r="L51" s="1"/>
      <c r="M51" s="42"/>
      <c r="O51" s="42"/>
    </row>
    <row r="52" spans="2:15" ht="12.75">
      <c r="B52" s="1"/>
      <c r="C52" s="61"/>
      <c r="D52" s="1"/>
      <c r="E52" s="42"/>
      <c r="F52" s="1"/>
      <c r="G52" s="1"/>
      <c r="H52" s="1"/>
      <c r="I52" s="1"/>
      <c r="J52" s="1"/>
      <c r="K52" s="1"/>
      <c r="L52" s="1"/>
      <c r="M52" s="42"/>
      <c r="O52" s="42"/>
    </row>
    <row r="53" spans="2:15" ht="12.75">
      <c r="B53" s="1"/>
      <c r="C53" s="61"/>
      <c r="D53" s="1"/>
      <c r="E53" s="42"/>
      <c r="F53" s="1"/>
      <c r="G53" s="1"/>
      <c r="H53" s="1"/>
      <c r="I53" s="1"/>
      <c r="J53" s="1"/>
      <c r="K53" s="1"/>
      <c r="L53" s="1"/>
      <c r="M53" s="42"/>
      <c r="O53" s="42"/>
    </row>
    <row r="54" spans="2:15" ht="12.75">
      <c r="B54" s="1"/>
      <c r="C54" s="61"/>
      <c r="D54" s="1"/>
      <c r="E54" s="42"/>
      <c r="F54" s="1"/>
      <c r="G54" s="1"/>
      <c r="H54" s="1"/>
      <c r="I54" s="1"/>
      <c r="J54" s="1"/>
      <c r="K54" s="1"/>
      <c r="L54" s="1"/>
      <c r="M54" s="42"/>
      <c r="O54" s="42"/>
    </row>
    <row r="55" spans="2:15" ht="12.75">
      <c r="B55" s="1"/>
      <c r="C55" s="61"/>
      <c r="D55" s="1"/>
      <c r="E55" s="42"/>
      <c r="F55" s="1"/>
      <c r="G55" s="1"/>
      <c r="H55" s="1"/>
      <c r="I55" s="1"/>
      <c r="J55" s="1"/>
      <c r="K55" s="1"/>
      <c r="L55" s="1"/>
      <c r="M55" s="42"/>
      <c r="O55" s="42"/>
    </row>
    <row r="56" spans="2:15" ht="12.75">
      <c r="B56" s="1"/>
      <c r="C56" s="61"/>
      <c r="D56" s="1"/>
      <c r="E56" s="42"/>
      <c r="F56" s="1"/>
      <c r="G56" s="1"/>
      <c r="H56" s="1"/>
      <c r="I56" s="1"/>
      <c r="J56" s="1"/>
      <c r="K56" s="1"/>
      <c r="L56" s="1"/>
      <c r="M56" s="42"/>
      <c r="O56" s="42"/>
    </row>
    <row r="57" spans="2:15" ht="12.75">
      <c r="B57" s="1"/>
      <c r="C57" s="61"/>
      <c r="D57" s="1"/>
      <c r="E57" s="42"/>
      <c r="F57" s="1"/>
      <c r="G57" s="1"/>
      <c r="H57" s="1"/>
      <c r="I57" s="1"/>
      <c r="J57" s="1"/>
      <c r="K57" s="1"/>
      <c r="L57" s="1"/>
      <c r="M57" s="42"/>
      <c r="O57" s="42"/>
    </row>
    <row r="58" spans="2:15" ht="12.75">
      <c r="B58" s="1"/>
      <c r="C58" s="61"/>
      <c r="D58" s="1"/>
      <c r="E58" s="42"/>
      <c r="F58" s="1"/>
      <c r="G58" s="1"/>
      <c r="H58" s="1"/>
      <c r="I58" s="1"/>
      <c r="J58" s="1"/>
      <c r="K58" s="1"/>
      <c r="L58" s="1"/>
      <c r="M58" s="42"/>
      <c r="O58" s="42"/>
    </row>
    <row r="59" spans="2:15" ht="12.75">
      <c r="B59" s="1"/>
      <c r="C59" s="61"/>
      <c r="D59" s="1"/>
      <c r="E59" s="42"/>
      <c r="F59" s="1"/>
      <c r="G59" s="1"/>
      <c r="H59" s="1"/>
      <c r="I59" s="1"/>
      <c r="J59" s="1"/>
      <c r="K59" s="1"/>
      <c r="L59" s="1"/>
      <c r="M59" s="42"/>
      <c r="O59" s="42"/>
    </row>
    <row r="60" spans="2:1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42"/>
    </row>
    <row r="61" spans="2:1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42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5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3.5" thickBo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5" ht="21.75" thickBot="1" thickTop="1">
      <c r="A66" s="381" t="s">
        <v>228</v>
      </c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3"/>
    </row>
    <row r="67" ht="13.5" thickTop="1"/>
    <row r="68" spans="1:15" ht="12.75">
      <c r="A68" s="4" t="s">
        <v>0</v>
      </c>
      <c r="B68" s="379" t="s">
        <v>14</v>
      </c>
      <c r="C68" s="380"/>
      <c r="D68" s="379" t="s">
        <v>15</v>
      </c>
      <c r="E68" s="380"/>
      <c r="F68" s="379" t="s">
        <v>35</v>
      </c>
      <c r="G68" s="380"/>
      <c r="H68" s="379" t="s">
        <v>36</v>
      </c>
      <c r="I68" s="380"/>
      <c r="J68" s="379" t="s">
        <v>37</v>
      </c>
      <c r="K68" s="380"/>
      <c r="L68" s="379" t="s">
        <v>38</v>
      </c>
      <c r="M68" s="380"/>
      <c r="N68" s="10" t="s">
        <v>7</v>
      </c>
      <c r="O68" s="11"/>
    </row>
    <row r="69" spans="1:15" ht="12.75">
      <c r="A69" s="4" t="s">
        <v>24</v>
      </c>
      <c r="B69" s="13" t="s">
        <v>8</v>
      </c>
      <c r="C69" s="14" t="s">
        <v>9</v>
      </c>
      <c r="D69" s="13" t="s">
        <v>8</v>
      </c>
      <c r="E69" s="14" t="s">
        <v>9</v>
      </c>
      <c r="F69" s="4" t="s">
        <v>8</v>
      </c>
      <c r="G69" s="14" t="s">
        <v>9</v>
      </c>
      <c r="H69" s="4" t="s">
        <v>8</v>
      </c>
      <c r="I69" s="14" t="s">
        <v>9</v>
      </c>
      <c r="J69" s="13" t="s">
        <v>8</v>
      </c>
      <c r="K69" s="14" t="s">
        <v>9</v>
      </c>
      <c r="L69" s="13" t="s">
        <v>8</v>
      </c>
      <c r="M69" s="14" t="s">
        <v>9</v>
      </c>
      <c r="N69" s="15" t="s">
        <v>8</v>
      </c>
      <c r="O69" s="16" t="s">
        <v>9</v>
      </c>
    </row>
    <row r="70" spans="1:17" ht="12.75">
      <c r="A70" s="48" t="s">
        <v>21</v>
      </c>
      <c r="B70" s="45">
        <v>0</v>
      </c>
      <c r="C70" s="18">
        <f>12335.15+2173.29+10032.79</f>
        <v>24541.23</v>
      </c>
      <c r="D70" s="44">
        <v>0</v>
      </c>
      <c r="E70" s="18">
        <f>6436.1+9995.87+12588.67</f>
        <v>29020.64</v>
      </c>
      <c r="F70" s="45">
        <v>0</v>
      </c>
      <c r="G70" s="18">
        <f>20999.72+8984.38+8581.3</f>
        <v>38565.399999999994</v>
      </c>
      <c r="H70" s="44">
        <v>0</v>
      </c>
      <c r="I70" s="19">
        <f>9108.95</f>
        <v>9108.95</v>
      </c>
      <c r="J70" s="45">
        <v>0</v>
      </c>
      <c r="K70" s="18">
        <f>11902.11+5922.1</f>
        <v>17824.21</v>
      </c>
      <c r="L70" s="44">
        <v>0</v>
      </c>
      <c r="M70" s="19">
        <f>12882.67+9995.92</f>
        <v>22878.59</v>
      </c>
      <c r="N70" s="51">
        <f aca="true" t="shared" si="7" ref="N70:N84">N12+B70+D70+F70+H70+J70+L70</f>
        <v>0</v>
      </c>
      <c r="O70" s="20">
        <f aca="true" t="shared" si="8" ref="O70:O84">O12+C70+E70+G70+I70+K70+M70</f>
        <v>269424.44000000006</v>
      </c>
      <c r="Q70" s="42"/>
    </row>
    <row r="71" spans="1:15" ht="12.75">
      <c r="A71" s="48" t="s">
        <v>31</v>
      </c>
      <c r="B71" s="45">
        <v>0</v>
      </c>
      <c r="C71" s="18">
        <v>0</v>
      </c>
      <c r="D71" s="44">
        <v>0</v>
      </c>
      <c r="E71" s="18">
        <v>0</v>
      </c>
      <c r="F71" s="45">
        <v>0</v>
      </c>
      <c r="G71" s="18">
        <f>22939.81</f>
        <v>22939.81</v>
      </c>
      <c r="H71" s="44">
        <v>0</v>
      </c>
      <c r="I71" s="19">
        <v>0</v>
      </c>
      <c r="J71" s="30">
        <v>0</v>
      </c>
      <c r="K71" s="18">
        <f>19955.92</f>
        <v>19955.92</v>
      </c>
      <c r="L71" s="44">
        <v>0</v>
      </c>
      <c r="M71" s="19">
        <v>0</v>
      </c>
      <c r="N71" s="51">
        <f t="shared" si="7"/>
        <v>0</v>
      </c>
      <c r="O71" s="20">
        <f>C13+E13+G13+I13+K13+M13+C71+E71+G71+I71+K71+M71</f>
        <v>82800.44</v>
      </c>
    </row>
    <row r="72" spans="1:15" ht="12.75">
      <c r="A72" s="48" t="s">
        <v>22</v>
      </c>
      <c r="B72" s="45">
        <v>0</v>
      </c>
      <c r="C72" s="18">
        <v>0</v>
      </c>
      <c r="D72" s="44">
        <v>0</v>
      </c>
      <c r="E72" s="18">
        <v>0</v>
      </c>
      <c r="F72" s="45">
        <v>0</v>
      </c>
      <c r="G72" s="18">
        <f>6002.34</f>
        <v>6002.34</v>
      </c>
      <c r="H72" s="44">
        <v>0</v>
      </c>
      <c r="I72" s="19">
        <v>0</v>
      </c>
      <c r="J72" s="45">
        <v>0</v>
      </c>
      <c r="K72" s="18">
        <f>6002.81</f>
        <v>6002.81</v>
      </c>
      <c r="L72" s="44">
        <v>0</v>
      </c>
      <c r="M72" s="19">
        <f>7463.24</f>
        <v>7463.24</v>
      </c>
      <c r="N72" s="51">
        <f t="shared" si="7"/>
        <v>0</v>
      </c>
      <c r="O72" s="20">
        <f>O14+C72+E72+G72+I72+K72+M72</f>
        <v>25480.47</v>
      </c>
    </row>
    <row r="73" spans="1:15" ht="12.75">
      <c r="A73" s="48" t="s">
        <v>23</v>
      </c>
      <c r="B73" s="45">
        <v>0</v>
      </c>
      <c r="C73" s="18">
        <v>22368.07</v>
      </c>
      <c r="D73" s="44">
        <v>0</v>
      </c>
      <c r="E73" s="18">
        <v>0</v>
      </c>
      <c r="F73" s="45">
        <v>0</v>
      </c>
      <c r="G73" s="18">
        <f>12564.74</f>
        <v>12564.74</v>
      </c>
      <c r="H73" s="44">
        <v>0</v>
      </c>
      <c r="I73" s="19">
        <f>22379.53</f>
        <v>22379.53</v>
      </c>
      <c r="J73" s="45">
        <v>0</v>
      </c>
      <c r="K73" s="18">
        <v>0</v>
      </c>
      <c r="L73" s="44">
        <v>0</v>
      </c>
      <c r="M73" s="19">
        <v>0</v>
      </c>
      <c r="N73" s="51">
        <f t="shared" si="7"/>
        <v>0</v>
      </c>
      <c r="O73" s="20">
        <f t="shared" si="8"/>
        <v>98556.7</v>
      </c>
    </row>
    <row r="74" spans="1:15" ht="12.75">
      <c r="A74" s="48" t="s">
        <v>25</v>
      </c>
      <c r="B74" s="30">
        <v>977</v>
      </c>
      <c r="C74" s="18">
        <v>56.31</v>
      </c>
      <c r="D74" s="31">
        <v>665</v>
      </c>
      <c r="E74" s="18">
        <v>49.431</v>
      </c>
      <c r="F74" s="30">
        <f>1+996</f>
        <v>997</v>
      </c>
      <c r="G74" s="18">
        <f>0.015+58.841</f>
        <v>58.856</v>
      </c>
      <c r="H74" s="31">
        <f>30+216</f>
        <v>246</v>
      </c>
      <c r="I74" s="19">
        <f>42.707+10.38</f>
        <v>53.087</v>
      </c>
      <c r="J74" s="30">
        <f>11+1274</f>
        <v>1285</v>
      </c>
      <c r="K74" s="18">
        <f>1.218+68.518</f>
        <v>69.736</v>
      </c>
      <c r="L74" s="31">
        <v>1052</v>
      </c>
      <c r="M74" s="19">
        <v>34.358</v>
      </c>
      <c r="N74" s="51">
        <f t="shared" si="7"/>
        <v>11629</v>
      </c>
      <c r="O74" s="20">
        <f>O16+C74+E74+G74+I74+K74+M74</f>
        <v>736.2669999999999</v>
      </c>
    </row>
    <row r="75" spans="1:15" ht="12.75">
      <c r="A75" s="48" t="s">
        <v>47</v>
      </c>
      <c r="B75" s="30">
        <v>0</v>
      </c>
      <c r="C75" s="18">
        <v>0</v>
      </c>
      <c r="D75" s="31">
        <v>0</v>
      </c>
      <c r="E75" s="18">
        <v>0</v>
      </c>
      <c r="F75" s="45">
        <v>0</v>
      </c>
      <c r="G75" s="18">
        <v>0</v>
      </c>
      <c r="H75" s="44">
        <v>0</v>
      </c>
      <c r="I75" s="19">
        <v>0</v>
      </c>
      <c r="J75" s="45">
        <v>0</v>
      </c>
      <c r="K75" s="18">
        <v>0</v>
      </c>
      <c r="L75" s="31">
        <v>0</v>
      </c>
      <c r="M75" s="19">
        <v>0</v>
      </c>
      <c r="N75" s="51">
        <f t="shared" si="7"/>
        <v>0</v>
      </c>
      <c r="O75" s="20">
        <f t="shared" si="8"/>
        <v>0</v>
      </c>
    </row>
    <row r="76" spans="1:15" ht="12.75">
      <c r="A76" s="49" t="s">
        <v>28</v>
      </c>
      <c r="B76" s="30">
        <v>0</v>
      </c>
      <c r="C76" s="18">
        <v>0</v>
      </c>
      <c r="D76" s="31">
        <v>0</v>
      </c>
      <c r="E76" s="18">
        <v>0</v>
      </c>
      <c r="F76" s="30">
        <v>0</v>
      </c>
      <c r="G76" s="18">
        <v>0</v>
      </c>
      <c r="H76" s="31">
        <v>0</v>
      </c>
      <c r="I76" s="19">
        <v>0</v>
      </c>
      <c r="J76" s="30">
        <v>0</v>
      </c>
      <c r="K76" s="18">
        <v>0</v>
      </c>
      <c r="L76" s="31">
        <f>1265</f>
        <v>1265</v>
      </c>
      <c r="M76" s="19">
        <f>1384.777</f>
        <v>1384.777</v>
      </c>
      <c r="N76" s="51">
        <f t="shared" si="7"/>
        <v>1320</v>
      </c>
      <c r="O76" s="20">
        <f>O18+C76+E76+G76+I76+K76+M76</f>
        <v>2981.8469999999998</v>
      </c>
    </row>
    <row r="77" spans="1:15" ht="12.75">
      <c r="A77" s="49" t="s">
        <v>173</v>
      </c>
      <c r="B77" s="30">
        <v>0</v>
      </c>
      <c r="C77" s="18">
        <v>0</v>
      </c>
      <c r="D77" s="31">
        <v>0</v>
      </c>
      <c r="E77" s="19">
        <v>0</v>
      </c>
      <c r="F77" s="30">
        <v>0</v>
      </c>
      <c r="G77" s="18">
        <v>0</v>
      </c>
      <c r="H77" s="31">
        <v>0</v>
      </c>
      <c r="I77" s="19">
        <v>0</v>
      </c>
      <c r="J77" s="45">
        <v>0</v>
      </c>
      <c r="K77" s="18">
        <v>0</v>
      </c>
      <c r="L77" s="44">
        <v>0</v>
      </c>
      <c r="M77" s="19">
        <v>0</v>
      </c>
      <c r="N77" s="51">
        <f t="shared" si="7"/>
        <v>0</v>
      </c>
      <c r="O77" s="20">
        <f t="shared" si="8"/>
        <v>0</v>
      </c>
    </row>
    <row r="78" spans="1:15" ht="12.75">
      <c r="A78" s="49" t="s">
        <v>30</v>
      </c>
      <c r="B78" s="45">
        <v>0</v>
      </c>
      <c r="C78" s="18">
        <v>0</v>
      </c>
      <c r="D78" s="31">
        <v>0</v>
      </c>
      <c r="E78" s="19">
        <f>10077.26</f>
        <v>10077.26</v>
      </c>
      <c r="F78" s="45">
        <v>0</v>
      </c>
      <c r="G78" s="18">
        <v>0</v>
      </c>
      <c r="H78" s="31">
        <v>0</v>
      </c>
      <c r="I78" s="19">
        <v>0</v>
      </c>
      <c r="J78" s="45">
        <v>0</v>
      </c>
      <c r="K78" s="18">
        <v>0</v>
      </c>
      <c r="L78" s="44">
        <v>0</v>
      </c>
      <c r="M78" s="19">
        <v>0</v>
      </c>
      <c r="N78" s="51">
        <f t="shared" si="7"/>
        <v>0</v>
      </c>
      <c r="O78" s="20">
        <f t="shared" si="8"/>
        <v>20270.120000000003</v>
      </c>
    </row>
    <row r="79" spans="1:15" ht="12.75" customHeight="1">
      <c r="A79" s="49" t="s">
        <v>34</v>
      </c>
      <c r="B79" s="45">
        <v>0</v>
      </c>
      <c r="C79" s="18">
        <v>0</v>
      </c>
      <c r="D79" s="31">
        <v>0</v>
      </c>
      <c r="E79" s="19">
        <v>0</v>
      </c>
      <c r="F79" s="30">
        <v>0</v>
      </c>
      <c r="G79" s="18">
        <v>0</v>
      </c>
      <c r="H79" s="31">
        <v>0</v>
      </c>
      <c r="I79" s="19">
        <v>0</v>
      </c>
      <c r="J79" s="45">
        <v>0</v>
      </c>
      <c r="K79" s="18">
        <v>0</v>
      </c>
      <c r="L79" s="44">
        <v>0</v>
      </c>
      <c r="M79" s="19">
        <v>0</v>
      </c>
      <c r="N79" s="51">
        <f t="shared" si="7"/>
        <v>0</v>
      </c>
      <c r="O79" s="20">
        <f t="shared" si="8"/>
        <v>0</v>
      </c>
    </row>
    <row r="80" spans="1:15" ht="12.75">
      <c r="A80" s="49" t="s">
        <v>201</v>
      </c>
      <c r="B80" s="30">
        <v>0</v>
      </c>
      <c r="C80" s="18">
        <v>0</v>
      </c>
      <c r="D80" s="31">
        <v>0</v>
      </c>
      <c r="E80" s="19">
        <v>0</v>
      </c>
      <c r="F80" s="31">
        <v>0</v>
      </c>
      <c r="G80" s="18">
        <v>0</v>
      </c>
      <c r="H80" s="31">
        <v>0</v>
      </c>
      <c r="I80" s="19">
        <v>0</v>
      </c>
      <c r="J80" s="30">
        <v>0</v>
      </c>
      <c r="K80" s="18">
        <v>0</v>
      </c>
      <c r="L80" s="31">
        <v>0</v>
      </c>
      <c r="M80" s="19">
        <v>0</v>
      </c>
      <c r="N80" s="51">
        <f t="shared" si="7"/>
        <v>0</v>
      </c>
      <c r="O80" s="20">
        <f>O22+C80+E80+G80+I80+K80+M80</f>
        <v>0</v>
      </c>
    </row>
    <row r="81" spans="1:15" ht="12.75">
      <c r="A81" s="49" t="s">
        <v>20</v>
      </c>
      <c r="B81" s="30">
        <f>618</f>
        <v>618</v>
      </c>
      <c r="C81" s="18">
        <f>671.268</f>
        <v>671.268</v>
      </c>
      <c r="D81" s="31">
        <v>0</v>
      </c>
      <c r="E81" s="19">
        <v>0</v>
      </c>
      <c r="F81" s="31">
        <v>2</v>
      </c>
      <c r="G81" s="18">
        <v>2.03</v>
      </c>
      <c r="H81" s="31">
        <f>30</f>
        <v>30</v>
      </c>
      <c r="I81" s="19">
        <f>32.56</f>
        <v>32.56</v>
      </c>
      <c r="J81" s="30">
        <f>200</f>
        <v>200</v>
      </c>
      <c r="K81" s="18">
        <f>257.788</f>
        <v>257.788</v>
      </c>
      <c r="L81" s="31">
        <v>0</v>
      </c>
      <c r="M81" s="19">
        <v>0</v>
      </c>
      <c r="N81" s="51">
        <f>N23+B81+D81+F81+H81+J81+L81</f>
        <v>9959</v>
      </c>
      <c r="O81" s="20">
        <f>O23+C81+E81+G81+I81+K81+M81</f>
        <v>10400.187</v>
      </c>
    </row>
    <row r="82" spans="1:15" ht="12.75">
      <c r="A82" s="49" t="s">
        <v>161</v>
      </c>
      <c r="B82" s="30">
        <v>0</v>
      </c>
      <c r="C82" s="18">
        <v>0</v>
      </c>
      <c r="D82" s="31">
        <v>0</v>
      </c>
      <c r="E82" s="19">
        <v>0</v>
      </c>
      <c r="F82" s="31">
        <v>0</v>
      </c>
      <c r="G82" s="18">
        <v>0</v>
      </c>
      <c r="H82" s="31">
        <v>0</v>
      </c>
      <c r="I82" s="19">
        <v>0</v>
      </c>
      <c r="J82" s="30">
        <v>0</v>
      </c>
      <c r="K82" s="18">
        <v>0</v>
      </c>
      <c r="L82" s="31">
        <v>0</v>
      </c>
      <c r="M82" s="19">
        <v>0</v>
      </c>
      <c r="N82" s="51">
        <f t="shared" si="7"/>
        <v>0</v>
      </c>
      <c r="O82" s="20">
        <f>O24+C82+E82+G82+I82+K82+M82</f>
        <v>0</v>
      </c>
    </row>
    <row r="83" spans="1:15" ht="12.75">
      <c r="A83" s="49" t="s">
        <v>162</v>
      </c>
      <c r="B83" s="30">
        <v>0</v>
      </c>
      <c r="C83" s="18">
        <v>0</v>
      </c>
      <c r="D83" s="31">
        <v>0</v>
      </c>
      <c r="E83" s="19">
        <v>0</v>
      </c>
      <c r="F83" s="31">
        <v>0</v>
      </c>
      <c r="G83" s="18">
        <v>0</v>
      </c>
      <c r="H83" s="31">
        <v>0</v>
      </c>
      <c r="I83" s="19">
        <v>0</v>
      </c>
      <c r="J83" s="30">
        <v>0</v>
      </c>
      <c r="K83" s="18">
        <v>0</v>
      </c>
      <c r="L83" s="31">
        <v>0</v>
      </c>
      <c r="M83" s="19">
        <v>0</v>
      </c>
      <c r="N83" s="51">
        <f t="shared" si="7"/>
        <v>40</v>
      </c>
      <c r="O83" s="20">
        <f>O25+C83+E83+G83+I83+K83+M83</f>
        <v>387.62</v>
      </c>
    </row>
    <row r="84" spans="1:15" ht="12.75">
      <c r="A84" s="49" t="s">
        <v>46</v>
      </c>
      <c r="B84" s="30">
        <v>0</v>
      </c>
      <c r="C84" s="18">
        <v>0</v>
      </c>
      <c r="D84" s="31">
        <v>0</v>
      </c>
      <c r="E84" s="19">
        <v>0</v>
      </c>
      <c r="F84" s="31">
        <v>0</v>
      </c>
      <c r="G84" s="18">
        <v>0</v>
      </c>
      <c r="H84" s="31">
        <v>0</v>
      </c>
      <c r="I84" s="19">
        <v>0</v>
      </c>
      <c r="J84" s="45">
        <v>0</v>
      </c>
      <c r="K84" s="18">
        <v>0</v>
      </c>
      <c r="L84" s="31">
        <v>0</v>
      </c>
      <c r="M84" s="19">
        <v>0</v>
      </c>
      <c r="N84" s="51">
        <f t="shared" si="7"/>
        <v>0</v>
      </c>
      <c r="O84" s="20">
        <f t="shared" si="8"/>
        <v>0</v>
      </c>
    </row>
    <row r="85" spans="1:15" ht="12.75" customHeight="1">
      <c r="A85" s="49" t="s">
        <v>170</v>
      </c>
      <c r="B85" s="30">
        <v>0</v>
      </c>
      <c r="C85" s="18">
        <v>0</v>
      </c>
      <c r="D85" s="31">
        <v>0</v>
      </c>
      <c r="E85" s="19">
        <v>0</v>
      </c>
      <c r="F85" s="31">
        <v>0</v>
      </c>
      <c r="G85" s="18">
        <v>0</v>
      </c>
      <c r="H85" s="31">
        <v>0</v>
      </c>
      <c r="I85" s="19">
        <v>0</v>
      </c>
      <c r="J85" s="45">
        <v>0</v>
      </c>
      <c r="K85" s="18">
        <v>0</v>
      </c>
      <c r="L85" s="31">
        <v>0</v>
      </c>
      <c r="M85" s="19">
        <v>0</v>
      </c>
      <c r="N85" s="51">
        <f>N27+B85+D85+F85+H85+J85+L85</f>
        <v>0</v>
      </c>
      <c r="O85" s="20">
        <f>SUM(O27+C85+E85+G85+I85+K85+M85)</f>
        <v>0</v>
      </c>
    </row>
    <row r="86" spans="1:15" ht="12.75" customHeight="1">
      <c r="A86" s="49" t="s">
        <v>177</v>
      </c>
      <c r="B86" s="30">
        <v>0</v>
      </c>
      <c r="C86" s="18">
        <v>0</v>
      </c>
      <c r="D86" s="31">
        <v>0</v>
      </c>
      <c r="E86" s="19">
        <v>0</v>
      </c>
      <c r="F86" s="31">
        <v>0</v>
      </c>
      <c r="G86" s="18">
        <v>0</v>
      </c>
      <c r="H86" s="31">
        <v>0</v>
      </c>
      <c r="I86" s="19">
        <v>0</v>
      </c>
      <c r="J86" s="45">
        <v>0</v>
      </c>
      <c r="K86" s="18">
        <v>0</v>
      </c>
      <c r="L86" s="31">
        <v>0</v>
      </c>
      <c r="M86" s="19">
        <v>0</v>
      </c>
      <c r="N86" s="51">
        <v>0</v>
      </c>
      <c r="O86" s="20">
        <f>K86+M86</f>
        <v>0</v>
      </c>
    </row>
    <row r="87" spans="1:15" ht="12.75">
      <c r="A87" s="12" t="s">
        <v>10</v>
      </c>
      <c r="B87" s="70">
        <f aca="true" t="shared" si="9" ref="B87:N87">SUM(B70:B86)</f>
        <v>1595</v>
      </c>
      <c r="C87" s="71">
        <f t="shared" si="9"/>
        <v>47636.878</v>
      </c>
      <c r="D87" s="70">
        <f t="shared" si="9"/>
        <v>665</v>
      </c>
      <c r="E87" s="71">
        <f t="shared" si="9"/>
        <v>39147.331</v>
      </c>
      <c r="F87" s="73">
        <f t="shared" si="9"/>
        <v>999</v>
      </c>
      <c r="G87" s="74">
        <f t="shared" si="9"/>
        <v>80133.17599999999</v>
      </c>
      <c r="H87" s="70">
        <f t="shared" si="9"/>
        <v>276</v>
      </c>
      <c r="I87" s="74">
        <f t="shared" si="9"/>
        <v>31574.127</v>
      </c>
      <c r="J87" s="70">
        <f t="shared" si="9"/>
        <v>1485</v>
      </c>
      <c r="K87" s="74">
        <f>SUM(K70:K86)</f>
        <v>44110.46399999999</v>
      </c>
      <c r="L87" s="70">
        <f t="shared" si="9"/>
        <v>2317</v>
      </c>
      <c r="M87" s="75">
        <f t="shared" si="9"/>
        <v>31760.965000000004</v>
      </c>
      <c r="N87" s="70">
        <f t="shared" si="9"/>
        <v>22948</v>
      </c>
      <c r="O87" s="74">
        <f>SUM(O70:O86)</f>
        <v>511038.0910000001</v>
      </c>
    </row>
    <row r="88" spans="1:15" ht="12.75">
      <c r="A88" s="24"/>
      <c r="B88" s="25"/>
      <c r="C88" s="26"/>
      <c r="D88" s="25"/>
      <c r="E88" s="26"/>
      <c r="F88" s="25"/>
      <c r="G88" s="27"/>
      <c r="H88" s="25"/>
      <c r="I88" s="27"/>
      <c r="J88" s="25"/>
      <c r="K88" s="27"/>
      <c r="L88" s="25"/>
      <c r="M88" s="27"/>
      <c r="N88" s="28"/>
      <c r="O88" s="28"/>
    </row>
    <row r="89" spans="1:15" ht="12.75">
      <c r="A89" s="4" t="s">
        <v>0</v>
      </c>
      <c r="B89" s="379" t="s">
        <v>14</v>
      </c>
      <c r="C89" s="380"/>
      <c r="D89" s="379" t="s">
        <v>15</v>
      </c>
      <c r="E89" s="380"/>
      <c r="F89" s="379" t="s">
        <v>35</v>
      </c>
      <c r="G89" s="380"/>
      <c r="H89" s="379" t="s">
        <v>36</v>
      </c>
      <c r="I89" s="380"/>
      <c r="J89" s="379" t="s">
        <v>37</v>
      </c>
      <c r="K89" s="380"/>
      <c r="L89" s="379" t="s">
        <v>38</v>
      </c>
      <c r="M89" s="380"/>
      <c r="N89" s="10" t="s">
        <v>19</v>
      </c>
      <c r="O89" s="11"/>
    </row>
    <row r="90" spans="1:16" ht="12.75">
      <c r="A90" s="12" t="s">
        <v>11</v>
      </c>
      <c r="B90" s="13" t="s">
        <v>8</v>
      </c>
      <c r="C90" s="29" t="s">
        <v>9</v>
      </c>
      <c r="D90" s="13" t="s">
        <v>8</v>
      </c>
      <c r="E90" s="29" t="s">
        <v>9</v>
      </c>
      <c r="F90" s="13" t="s">
        <v>8</v>
      </c>
      <c r="G90" s="14" t="s">
        <v>9</v>
      </c>
      <c r="H90" s="4" t="s">
        <v>8</v>
      </c>
      <c r="I90" s="14" t="s">
        <v>9</v>
      </c>
      <c r="J90" s="4" t="s">
        <v>8</v>
      </c>
      <c r="K90" s="14" t="s">
        <v>9</v>
      </c>
      <c r="L90" s="4" t="s">
        <v>8</v>
      </c>
      <c r="M90" s="14" t="s">
        <v>9</v>
      </c>
      <c r="N90" s="15" t="s">
        <v>8</v>
      </c>
      <c r="O90" s="16" t="s">
        <v>9</v>
      </c>
      <c r="P90" s="42"/>
    </row>
    <row r="91" spans="1:15" ht="12.75">
      <c r="A91" s="22" t="s">
        <v>20</v>
      </c>
      <c r="B91" s="30">
        <f>498+328+798+563+476+290</f>
        <v>2953</v>
      </c>
      <c r="C91" s="62">
        <f>506.76+640.669+815.75+1066.035+805.776+295.56</f>
        <v>4130.55</v>
      </c>
      <c r="D91" s="39">
        <f>1943+688+2202+576+807</f>
        <v>6216</v>
      </c>
      <c r="E91" s="63">
        <f>2780.877+1515.402+3273.479+1331.17+1043.486</f>
        <v>9944.414</v>
      </c>
      <c r="F91" s="31">
        <f>594+484+1142+503</f>
        <v>2723</v>
      </c>
      <c r="G91" s="32">
        <f>1382.855+1092.445+1728.923+975.283</f>
        <v>5179.506</v>
      </c>
      <c r="H91" s="47">
        <f>600+238+804+250+797+449+834</f>
        <v>3972</v>
      </c>
      <c r="I91" s="32">
        <f>1413.164+464.729+970.201+324.63+1769.326+873.126+1472.143</f>
        <v>7287.319</v>
      </c>
      <c r="J91" s="47">
        <f>30+574+508+591+1220</f>
        <v>2923</v>
      </c>
      <c r="K91" s="32">
        <f>34.17+1101.832+857.393+1025.985+1671.423</f>
        <v>4690.803</v>
      </c>
      <c r="L91" s="47">
        <f>505+1018+928</f>
        <v>2451</v>
      </c>
      <c r="M91" s="32">
        <f>971.897+1735.762+1585.888</f>
        <v>4293.5470000000005</v>
      </c>
      <c r="N91" s="50">
        <f aca="true" t="shared" si="10" ref="N91:O95">N32+B91+D91+F91+H91+J91+L91</f>
        <v>39208</v>
      </c>
      <c r="O91" s="33">
        <f t="shared" si="10"/>
        <v>59288.247</v>
      </c>
    </row>
    <row r="92" spans="1:15" ht="12.75">
      <c r="A92" s="22" t="s">
        <v>25</v>
      </c>
      <c r="B92" s="30">
        <f>691+6966</f>
        <v>7657</v>
      </c>
      <c r="C92" s="62">
        <f>8.449+357.136</f>
        <v>365.58500000000004</v>
      </c>
      <c r="D92" s="30">
        <f>387+5801</f>
        <v>6188</v>
      </c>
      <c r="E92" s="63">
        <f>7.955+198.665</f>
        <v>206.62</v>
      </c>
      <c r="F92" s="31">
        <f>153+5421</f>
        <v>5574</v>
      </c>
      <c r="G92" s="32">
        <f>2.133+347.861</f>
        <v>349.99399999999997</v>
      </c>
      <c r="H92" s="47">
        <f>1124+8433</f>
        <v>9557</v>
      </c>
      <c r="I92" s="32">
        <f>321.006+46.714</f>
        <v>367.71999999999997</v>
      </c>
      <c r="J92" s="47">
        <f>290+7054</f>
        <v>7344</v>
      </c>
      <c r="K92" s="41">
        <f>5.451+285.847</f>
        <v>291.298</v>
      </c>
      <c r="L92" s="31">
        <v>10091</v>
      </c>
      <c r="M92" s="32">
        <v>381.905</v>
      </c>
      <c r="N92" s="50">
        <f t="shared" si="10"/>
        <v>104703</v>
      </c>
      <c r="O92" s="33">
        <f t="shared" si="10"/>
        <v>4069.4039999999995</v>
      </c>
    </row>
    <row r="93" spans="1:15" ht="12.75">
      <c r="A93" s="22" t="s">
        <v>29</v>
      </c>
      <c r="B93" s="30">
        <v>0</v>
      </c>
      <c r="C93" s="62">
        <v>0</v>
      </c>
      <c r="D93" s="30">
        <f>16836+7154</f>
        <v>23990</v>
      </c>
      <c r="E93" s="63">
        <f>4324.08+1864.94</f>
        <v>6189.02</v>
      </c>
      <c r="F93" s="31">
        <v>0</v>
      </c>
      <c r="G93" s="32">
        <v>0</v>
      </c>
      <c r="H93" s="31">
        <v>0</v>
      </c>
      <c r="I93" s="32">
        <v>0</v>
      </c>
      <c r="J93" s="47">
        <f>6890+4530</f>
        <v>11420</v>
      </c>
      <c r="K93" s="32">
        <f>1913.74+1234.28</f>
        <v>3148.02</v>
      </c>
      <c r="L93" s="31">
        <v>0</v>
      </c>
      <c r="M93" s="32">
        <v>0</v>
      </c>
      <c r="N93" s="50">
        <f t="shared" si="10"/>
        <v>46223</v>
      </c>
      <c r="O93" s="33">
        <f t="shared" si="10"/>
        <v>11934.82</v>
      </c>
    </row>
    <row r="94" spans="1:15" ht="12.75">
      <c r="A94" s="34" t="s">
        <v>26</v>
      </c>
      <c r="B94" s="30">
        <v>0</v>
      </c>
      <c r="C94" s="64">
        <v>0</v>
      </c>
      <c r="D94" s="30">
        <v>0</v>
      </c>
      <c r="E94" s="63">
        <v>0</v>
      </c>
      <c r="F94" s="31">
        <v>0</v>
      </c>
      <c r="G94" s="32">
        <v>0</v>
      </c>
      <c r="H94" s="35">
        <v>0</v>
      </c>
      <c r="I94" s="32">
        <v>0</v>
      </c>
      <c r="J94" s="47">
        <v>0</v>
      </c>
      <c r="K94" s="32">
        <v>0</v>
      </c>
      <c r="L94" s="31">
        <v>0</v>
      </c>
      <c r="M94" s="32">
        <v>0</v>
      </c>
      <c r="N94" s="50">
        <f t="shared" si="10"/>
        <v>8</v>
      </c>
      <c r="O94" s="33">
        <f>O35+C94+E94+G94+I94+K94+M94</f>
        <v>194.15</v>
      </c>
    </row>
    <row r="95" spans="1:15" ht="12.75">
      <c r="A95" s="22" t="s">
        <v>27</v>
      </c>
      <c r="B95" s="30">
        <v>0</v>
      </c>
      <c r="C95" s="62">
        <v>0</v>
      </c>
      <c r="D95" s="30">
        <f>1269+614+1103</f>
        <v>2986</v>
      </c>
      <c r="E95" s="63">
        <f>962.62+497.82+812.49</f>
        <v>2272.9300000000003</v>
      </c>
      <c r="F95" s="31">
        <v>0</v>
      </c>
      <c r="G95" s="32">
        <v>0</v>
      </c>
      <c r="H95" s="31">
        <v>0</v>
      </c>
      <c r="I95" s="32">
        <v>0</v>
      </c>
      <c r="J95" s="47">
        <f>459</f>
        <v>459</v>
      </c>
      <c r="K95" s="32">
        <f>358.15</f>
        <v>358.15</v>
      </c>
      <c r="L95" s="31">
        <v>0</v>
      </c>
      <c r="M95" s="32">
        <v>0</v>
      </c>
      <c r="N95" s="50">
        <f t="shared" si="10"/>
        <v>5680</v>
      </c>
      <c r="O95" s="33">
        <f t="shared" si="10"/>
        <v>3759.9820000000004</v>
      </c>
    </row>
    <row r="96" spans="1:15" ht="12.75">
      <c r="A96" s="346" t="s">
        <v>247</v>
      </c>
      <c r="B96" s="30">
        <v>0</v>
      </c>
      <c r="C96" s="62">
        <v>0</v>
      </c>
      <c r="D96" s="30">
        <v>0</v>
      </c>
      <c r="E96" s="63">
        <v>0</v>
      </c>
      <c r="F96" s="31">
        <v>0</v>
      </c>
      <c r="G96" s="32">
        <v>0</v>
      </c>
      <c r="H96" s="31">
        <v>0</v>
      </c>
      <c r="I96" s="32">
        <v>0</v>
      </c>
      <c r="J96" s="43">
        <v>0</v>
      </c>
      <c r="K96" s="32">
        <v>0</v>
      </c>
      <c r="L96" s="31">
        <v>0</v>
      </c>
      <c r="M96" s="32">
        <v>0</v>
      </c>
      <c r="N96" s="50">
        <f>SUM(B96,D96,F96,H96,J96,L96)</f>
        <v>0</v>
      </c>
      <c r="O96" s="33">
        <f>SUM(C96,E96,G96,I96,K96,M96)</f>
        <v>0</v>
      </c>
    </row>
    <row r="97" spans="1:15" ht="12.75">
      <c r="A97" s="22" t="s">
        <v>202</v>
      </c>
      <c r="B97" s="30">
        <v>0</v>
      </c>
      <c r="C97" s="62">
        <v>0</v>
      </c>
      <c r="D97" s="30">
        <v>0</v>
      </c>
      <c r="E97" s="63">
        <v>0</v>
      </c>
      <c r="F97" s="31">
        <v>0</v>
      </c>
      <c r="G97" s="32">
        <v>0</v>
      </c>
      <c r="H97" s="44">
        <v>0</v>
      </c>
      <c r="I97" s="32">
        <v>0</v>
      </c>
      <c r="J97" s="43">
        <v>0</v>
      </c>
      <c r="K97" s="32">
        <v>0</v>
      </c>
      <c r="L97" s="44">
        <v>0</v>
      </c>
      <c r="M97" s="32">
        <v>0</v>
      </c>
      <c r="N97" s="50">
        <f>N37+B97+D97+F97+H97+J97+L97</f>
        <v>2</v>
      </c>
      <c r="O97" s="33">
        <f>O37+C97+E97+G97+I97+K97+M97</f>
        <v>11.21</v>
      </c>
    </row>
    <row r="98" spans="1:15" ht="12.75">
      <c r="A98" s="22" t="s">
        <v>163</v>
      </c>
      <c r="B98" s="30">
        <v>0</v>
      </c>
      <c r="C98" s="62">
        <v>0</v>
      </c>
      <c r="D98" s="30">
        <v>0</v>
      </c>
      <c r="E98" s="63">
        <v>0</v>
      </c>
      <c r="F98" s="31">
        <v>0</v>
      </c>
      <c r="G98" s="32">
        <v>0</v>
      </c>
      <c r="H98" s="31">
        <v>0</v>
      </c>
      <c r="I98" s="32">
        <v>0</v>
      </c>
      <c r="J98" s="47">
        <v>0</v>
      </c>
      <c r="K98" s="32">
        <v>0</v>
      </c>
      <c r="L98" s="31">
        <v>0</v>
      </c>
      <c r="M98" s="32">
        <v>0</v>
      </c>
      <c r="N98" s="50">
        <f>N38+B98+D98+F98+H98+J98+L98</f>
        <v>4</v>
      </c>
      <c r="O98" s="33">
        <f>O38+C98+E98+G98+I98+K98+M98</f>
        <v>25.99</v>
      </c>
    </row>
    <row r="99" spans="1:15" ht="12" customHeight="1">
      <c r="A99" s="359" t="s">
        <v>33</v>
      </c>
      <c r="B99" s="30">
        <v>0</v>
      </c>
      <c r="C99" s="62">
        <v>0</v>
      </c>
      <c r="D99" s="30">
        <f>8414</f>
        <v>8414</v>
      </c>
      <c r="E99" s="63">
        <f>16454.6</f>
        <v>16454.6</v>
      </c>
      <c r="F99" s="31">
        <v>0</v>
      </c>
      <c r="G99" s="32">
        <v>0</v>
      </c>
      <c r="H99" s="31">
        <v>0</v>
      </c>
      <c r="I99" s="32">
        <v>0</v>
      </c>
      <c r="J99" s="47">
        <v>0</v>
      </c>
      <c r="K99" s="32">
        <v>0</v>
      </c>
      <c r="L99" s="31">
        <v>0</v>
      </c>
      <c r="M99" s="32">
        <v>0</v>
      </c>
      <c r="N99" s="50">
        <f>SUM(N39+B99+D99+F99+H99+J99+L99)</f>
        <v>8414</v>
      </c>
      <c r="O99" s="33">
        <f>SUM(O39,C99,E99,G99,I99,K99,M99)</f>
        <v>16454.6</v>
      </c>
    </row>
    <row r="100" spans="1:15" ht="12" customHeight="1">
      <c r="A100" s="49" t="s">
        <v>178</v>
      </c>
      <c r="B100" s="30">
        <v>0</v>
      </c>
      <c r="C100" s="62">
        <v>0</v>
      </c>
      <c r="D100" s="30">
        <v>0</v>
      </c>
      <c r="E100" s="63">
        <v>0</v>
      </c>
      <c r="F100" s="31">
        <v>0</v>
      </c>
      <c r="G100" s="32">
        <v>0</v>
      </c>
      <c r="H100" s="31">
        <v>0</v>
      </c>
      <c r="I100" s="32">
        <v>0</v>
      </c>
      <c r="J100" s="47">
        <v>0</v>
      </c>
      <c r="K100" s="32">
        <v>0</v>
      </c>
      <c r="L100" s="31">
        <v>0</v>
      </c>
      <c r="M100" s="32">
        <v>0</v>
      </c>
      <c r="N100" s="50">
        <f>J100</f>
        <v>0</v>
      </c>
      <c r="O100" s="33">
        <f>K100</f>
        <v>0</v>
      </c>
    </row>
    <row r="101" spans="1:15" ht="12.75">
      <c r="A101" s="12" t="s">
        <v>10</v>
      </c>
      <c r="B101" s="70">
        <f aca="true" t="shared" si="11" ref="B101:I101">SUM(B91:B100)</f>
        <v>10610</v>
      </c>
      <c r="C101" s="71">
        <f t="shared" si="11"/>
        <v>4496.135</v>
      </c>
      <c r="D101" s="70">
        <f t="shared" si="11"/>
        <v>47794</v>
      </c>
      <c r="E101" s="72">
        <f t="shared" si="11"/>
        <v>35067.584</v>
      </c>
      <c r="F101" s="70">
        <f t="shared" si="11"/>
        <v>8297</v>
      </c>
      <c r="G101" s="74">
        <f t="shared" si="11"/>
        <v>5529.5</v>
      </c>
      <c r="H101" s="70">
        <f t="shared" si="11"/>
        <v>13529</v>
      </c>
      <c r="I101" s="74">
        <f t="shared" si="11"/>
        <v>7655.039000000001</v>
      </c>
      <c r="J101" s="70">
        <f aca="true" t="shared" si="12" ref="J101:O101">SUM(J91:J100)</f>
        <v>22146</v>
      </c>
      <c r="K101" s="74">
        <f t="shared" si="12"/>
        <v>8488.270999999999</v>
      </c>
      <c r="L101" s="70">
        <f t="shared" si="12"/>
        <v>12542</v>
      </c>
      <c r="M101" s="74">
        <f t="shared" si="12"/>
        <v>4675.452</v>
      </c>
      <c r="N101" s="70">
        <f t="shared" si="12"/>
        <v>204242</v>
      </c>
      <c r="O101" s="74">
        <f t="shared" si="12"/>
        <v>95738.40300000002</v>
      </c>
    </row>
    <row r="102" spans="1:15" ht="12.75">
      <c r="A102" s="38"/>
      <c r="B102" s="17" t="s">
        <v>12</v>
      </c>
      <c r="C102" s="19"/>
      <c r="E102" s="19"/>
      <c r="F102" s="52"/>
      <c r="G102" s="32"/>
      <c r="H102" s="44"/>
      <c r="I102" s="32"/>
      <c r="J102" s="39"/>
      <c r="K102" s="32"/>
      <c r="L102" s="39"/>
      <c r="M102" s="32"/>
      <c r="N102" s="36"/>
      <c r="O102" s="33"/>
    </row>
    <row r="103" spans="1:15" ht="12.75">
      <c r="A103" s="37" t="s">
        <v>13</v>
      </c>
      <c r="B103" s="68">
        <f>B101+B87</f>
        <v>12205</v>
      </c>
      <c r="C103" s="69">
        <f>C101+C87</f>
        <v>52133.013</v>
      </c>
      <c r="D103" s="68">
        <f>D101+D87</f>
        <v>48459</v>
      </c>
      <c r="E103" s="69">
        <f aca="true" t="shared" si="13" ref="E103:M103">SUM(+E87+E101)</f>
        <v>74214.91500000001</v>
      </c>
      <c r="F103" s="68">
        <f t="shared" si="13"/>
        <v>9296</v>
      </c>
      <c r="G103" s="69">
        <f t="shared" si="13"/>
        <v>85662.67599999999</v>
      </c>
      <c r="H103" s="68">
        <f t="shared" si="13"/>
        <v>13805</v>
      </c>
      <c r="I103" s="69">
        <f t="shared" si="13"/>
        <v>39229.166</v>
      </c>
      <c r="J103" s="68">
        <f t="shared" si="13"/>
        <v>23631</v>
      </c>
      <c r="K103" s="69">
        <f t="shared" si="13"/>
        <v>52598.73499999999</v>
      </c>
      <c r="L103" s="68">
        <f t="shared" si="13"/>
        <v>14859</v>
      </c>
      <c r="M103" s="69">
        <f t="shared" si="13"/>
        <v>36436.417</v>
      </c>
      <c r="N103" s="76">
        <f>SUM(+N87+N101)</f>
        <v>227190</v>
      </c>
      <c r="O103" s="77">
        <f>SUM(+O87+O101)</f>
        <v>606776.4940000001</v>
      </c>
    </row>
    <row r="104" spans="3:15" ht="12.75">
      <c r="C104" s="2"/>
      <c r="F104" s="2" t="s">
        <v>12</v>
      </c>
      <c r="I104" s="67"/>
      <c r="N104" s="57"/>
      <c r="O104" s="53"/>
    </row>
    <row r="105" spans="2:15" ht="12.75">
      <c r="B105" s="56"/>
      <c r="D105" s="56"/>
      <c r="F105" s="58" t="s">
        <v>12</v>
      </c>
      <c r="J105" s="59"/>
      <c r="N105" s="55" t="s">
        <v>12</v>
      </c>
      <c r="O105" s="60"/>
    </row>
    <row r="106" ht="12.75">
      <c r="O106" s="42"/>
    </row>
    <row r="107" ht="12.75">
      <c r="O107" s="42"/>
    </row>
    <row r="108" ht="12.75">
      <c r="O108" s="42"/>
    </row>
  </sheetData>
  <sheetProtection/>
  <mergeCells count="14">
    <mergeCell ref="D68:E68"/>
    <mergeCell ref="F68:G68"/>
    <mergeCell ref="H68:I68"/>
    <mergeCell ref="J68:K68"/>
    <mergeCell ref="L68:M68"/>
    <mergeCell ref="H89:I89"/>
    <mergeCell ref="J89:K89"/>
    <mergeCell ref="L89:M89"/>
    <mergeCell ref="A8:O8"/>
    <mergeCell ref="A66:O66"/>
    <mergeCell ref="B89:C89"/>
    <mergeCell ref="D89:E89"/>
    <mergeCell ref="F89:G89"/>
    <mergeCell ref="B68:C68"/>
  </mergeCells>
  <printOptions horizontalCentered="1"/>
  <pageMargins left="0.1968503937007874" right="0.1968503937007874" top="0.5905511811023623" bottom="0.1968503937007874" header="0" footer="0.3937007874015748"/>
  <pageSetup horizontalDpi="600" verticalDpi="600" orientation="landscape" paperSize="9" scale="80" r:id="rId2"/>
  <ignoredErrors>
    <ignoredError sqref="O71" evalError="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="75" zoomScaleNormal="75" zoomScalePageLayoutView="0" workbookViewId="0" topLeftCell="A11">
      <selection activeCell="N30" sqref="N30"/>
    </sheetView>
  </sheetViews>
  <sheetFormatPr defaultColWidth="9.140625" defaultRowHeight="12.75"/>
  <cols>
    <col min="1" max="1" width="12.8515625" style="110" bestFit="1" customWidth="1"/>
    <col min="2" max="4" width="12.28125" style="110" customWidth="1"/>
    <col min="5" max="5" width="14.00390625" style="110" customWidth="1"/>
    <col min="6" max="6" width="9.140625" style="110" hidden="1" customWidth="1"/>
    <col min="7" max="7" width="12.421875" style="110" customWidth="1"/>
    <col min="8" max="8" width="14.00390625" style="110" customWidth="1"/>
    <col min="9" max="10" width="14.00390625" style="110" bestFit="1" customWidth="1"/>
    <col min="11" max="11" width="12.421875" style="110" bestFit="1" customWidth="1"/>
    <col min="12" max="12" width="14.00390625" style="110" bestFit="1" customWidth="1"/>
    <col min="13" max="14" width="12.421875" style="110" bestFit="1" customWidth="1"/>
    <col min="15" max="16384" width="9.140625" style="110" customWidth="1"/>
  </cols>
  <sheetData>
    <row r="1" spans="10:12" ht="15.75">
      <c r="J1" s="391" t="s">
        <v>99</v>
      </c>
      <c r="K1" s="391"/>
      <c r="L1" s="391"/>
    </row>
    <row r="2" spans="10:12" ht="15">
      <c r="J2" s="389" t="s">
        <v>98</v>
      </c>
      <c r="K2" s="389"/>
      <c r="L2" s="389"/>
    </row>
    <row r="3" spans="10:12" ht="15">
      <c r="J3" s="390" t="s">
        <v>97</v>
      </c>
      <c r="K3" s="390"/>
      <c r="L3" s="390"/>
    </row>
    <row r="9" spans="1:12" ht="15.75">
      <c r="A9" s="388" t="s">
        <v>102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</row>
    <row r="10" ht="15.75">
      <c r="A10" s="157"/>
    </row>
    <row r="11" ht="15.75">
      <c r="A11" s="157"/>
    </row>
    <row r="12" spans="1:12" ht="15.75">
      <c r="A12" s="391" t="s">
        <v>430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</row>
    <row r="13" spans="1:10" ht="15.75">
      <c r="A13" s="393" t="s">
        <v>101</v>
      </c>
      <c r="B13" s="394"/>
      <c r="C13" s="394"/>
      <c r="D13" s="394"/>
      <c r="E13" s="394"/>
      <c r="F13" s="394"/>
      <c r="G13" s="394"/>
      <c r="H13" s="394"/>
      <c r="I13" s="394"/>
      <c r="J13" s="394"/>
    </row>
    <row r="14" spans="1:14" ht="16.5" thickBot="1">
      <c r="A14" s="156" t="s">
        <v>100</v>
      </c>
      <c r="B14" s="155">
        <v>2005</v>
      </c>
      <c r="C14" s="155">
        <v>2006</v>
      </c>
      <c r="D14" s="155">
        <v>2007</v>
      </c>
      <c r="E14" s="155">
        <v>2008</v>
      </c>
      <c r="G14" s="155">
        <v>2009</v>
      </c>
      <c r="H14" s="155">
        <v>2010</v>
      </c>
      <c r="I14" s="155">
        <v>2011</v>
      </c>
      <c r="J14" s="155">
        <v>2012</v>
      </c>
      <c r="K14" s="155">
        <v>2013</v>
      </c>
      <c r="L14" s="155">
        <v>2014</v>
      </c>
      <c r="M14" s="155">
        <v>2015</v>
      </c>
      <c r="N14" s="155">
        <v>2016</v>
      </c>
    </row>
    <row r="15" spans="1:14" ht="15.75">
      <c r="A15" s="146" t="s">
        <v>81</v>
      </c>
      <c r="B15" s="145">
        <v>14797.939</v>
      </c>
      <c r="C15" s="153">
        <v>70056.634</v>
      </c>
      <c r="D15" s="144">
        <v>56000.603</v>
      </c>
      <c r="E15" s="144">
        <v>36347.132</v>
      </c>
      <c r="G15" s="143">
        <v>27856.736</v>
      </c>
      <c r="H15" s="143">
        <v>36448.557</v>
      </c>
      <c r="I15" s="143">
        <v>43277.523</v>
      </c>
      <c r="J15" s="142">
        <v>90690.877</v>
      </c>
      <c r="K15" s="141">
        <v>58280.297</v>
      </c>
      <c r="L15" s="141">
        <v>62561.735</v>
      </c>
      <c r="M15" s="141">
        <v>74086.75</v>
      </c>
      <c r="N15" s="141">
        <v>28095.182</v>
      </c>
    </row>
    <row r="16" spans="1:14" ht="15.75">
      <c r="A16" s="146" t="s">
        <v>80</v>
      </c>
      <c r="B16" s="144">
        <v>39245.234</v>
      </c>
      <c r="C16" s="144">
        <v>44159.355</v>
      </c>
      <c r="D16" s="145">
        <v>26911.717</v>
      </c>
      <c r="E16" s="144">
        <v>54623.423</v>
      </c>
      <c r="G16" s="147">
        <v>73054.125</v>
      </c>
      <c r="H16" s="147">
        <v>27417.667</v>
      </c>
      <c r="I16" s="147">
        <v>51227.442</v>
      </c>
      <c r="J16" s="147">
        <v>70473.511</v>
      </c>
      <c r="K16" s="147">
        <v>62931.876</v>
      </c>
      <c r="L16" s="147">
        <v>37149.69</v>
      </c>
      <c r="M16" s="142">
        <v>59787.878</v>
      </c>
      <c r="N16" s="141">
        <v>29027.701</v>
      </c>
    </row>
    <row r="17" spans="1:14" ht="15.75">
      <c r="A17" s="146" t="s">
        <v>79</v>
      </c>
      <c r="B17" s="285">
        <v>19266.077</v>
      </c>
      <c r="C17" s="154">
        <v>26951.716</v>
      </c>
      <c r="D17" s="154">
        <v>58814.402</v>
      </c>
      <c r="E17" s="154">
        <v>54246.048</v>
      </c>
      <c r="G17" s="143">
        <v>45696.399</v>
      </c>
      <c r="H17" s="143">
        <v>54061.871</v>
      </c>
      <c r="I17" s="141">
        <v>59523.578</v>
      </c>
      <c r="J17" s="147">
        <v>50271.04</v>
      </c>
      <c r="K17" s="141">
        <v>66184.094</v>
      </c>
      <c r="L17" s="141">
        <v>50064.524</v>
      </c>
      <c r="M17" s="141">
        <v>47052.501</v>
      </c>
      <c r="N17" s="142">
        <v>83952.283</v>
      </c>
    </row>
    <row r="18" spans="1:14" ht="15.75">
      <c r="A18" s="146" t="s">
        <v>78</v>
      </c>
      <c r="B18" s="144">
        <v>43696.666</v>
      </c>
      <c r="C18" s="144">
        <v>27928.577</v>
      </c>
      <c r="D18" s="144">
        <v>37461.91</v>
      </c>
      <c r="E18" s="145">
        <v>26468.934</v>
      </c>
      <c r="G18" s="143">
        <v>29922.015</v>
      </c>
      <c r="H18" s="141">
        <v>44387.346</v>
      </c>
      <c r="I18" s="141">
        <v>33490.81</v>
      </c>
      <c r="J18" s="142">
        <v>92321.476</v>
      </c>
      <c r="K18" s="141">
        <v>35357.493</v>
      </c>
      <c r="L18" s="141">
        <v>73689.054</v>
      </c>
      <c r="M18" s="141">
        <v>81515.067</v>
      </c>
      <c r="N18" s="141">
        <v>45676.307</v>
      </c>
    </row>
    <row r="19" spans="1:14" ht="15.75">
      <c r="A19" s="146" t="s">
        <v>77</v>
      </c>
      <c r="B19" s="151">
        <v>53408.39</v>
      </c>
      <c r="C19" s="151">
        <v>48346.39</v>
      </c>
      <c r="D19" s="151">
        <v>43794.534</v>
      </c>
      <c r="E19" s="151">
        <v>51538.738</v>
      </c>
      <c r="G19" s="152">
        <v>36500.714</v>
      </c>
      <c r="H19" s="147">
        <v>70231.099</v>
      </c>
      <c r="I19" s="141">
        <v>38277.684</v>
      </c>
      <c r="J19" s="141">
        <v>36761.791</v>
      </c>
      <c r="K19" s="141">
        <v>61953.518</v>
      </c>
      <c r="L19" s="141">
        <v>58200.772</v>
      </c>
      <c r="M19" s="142">
        <v>78855.088</v>
      </c>
      <c r="N19" s="141">
        <v>38953.809</v>
      </c>
    </row>
    <row r="20" spans="1:14" ht="15.75">
      <c r="A20" s="146" t="s">
        <v>76</v>
      </c>
      <c r="B20" s="144">
        <v>27508.917</v>
      </c>
      <c r="C20" s="144">
        <v>55606.26</v>
      </c>
      <c r="D20" s="144">
        <v>14268.855</v>
      </c>
      <c r="E20" s="144">
        <v>68743.584</v>
      </c>
      <c r="G20" s="152">
        <v>4407.371</v>
      </c>
      <c r="H20" s="147">
        <v>40923.975</v>
      </c>
      <c r="I20" s="142">
        <v>84459.397</v>
      </c>
      <c r="J20" s="147">
        <v>68212.306</v>
      </c>
      <c r="K20" s="147">
        <v>64944.69</v>
      </c>
      <c r="L20" s="147">
        <v>68538.144</v>
      </c>
      <c r="M20" s="147">
        <v>41758.004</v>
      </c>
      <c r="N20" s="147">
        <v>40796.29</v>
      </c>
    </row>
    <row r="21" spans="1:14" ht="15.75">
      <c r="A21" s="146" t="s">
        <v>75</v>
      </c>
      <c r="B21" s="144">
        <v>43787.149</v>
      </c>
      <c r="C21" s="145">
        <v>24380.281</v>
      </c>
      <c r="D21" s="148">
        <v>100905.373</v>
      </c>
      <c r="E21" s="144">
        <v>45264.215</v>
      </c>
      <c r="G21" s="143">
        <v>36883.042</v>
      </c>
      <c r="H21" s="143">
        <v>56477.613</v>
      </c>
      <c r="I21" s="143">
        <v>72820.668</v>
      </c>
      <c r="J21" s="143">
        <v>89820.282</v>
      </c>
      <c r="K21" s="143">
        <v>48170.965</v>
      </c>
      <c r="L21" s="143">
        <v>71474.296</v>
      </c>
      <c r="M21" s="143">
        <v>63161.781</v>
      </c>
      <c r="N21" s="143">
        <v>52133.013</v>
      </c>
    </row>
    <row r="22" spans="1:14" ht="15.75">
      <c r="A22" s="146" t="s">
        <v>74</v>
      </c>
      <c r="B22" s="151">
        <f>SUM(B24)</f>
        <v>44513.146</v>
      </c>
      <c r="C22" s="151">
        <v>44790.57</v>
      </c>
      <c r="D22" s="150">
        <v>6249.382</v>
      </c>
      <c r="E22" s="149">
        <v>138028.836</v>
      </c>
      <c r="G22" s="143">
        <v>54563.617</v>
      </c>
      <c r="H22" s="143">
        <v>42338.086</v>
      </c>
      <c r="I22" s="143">
        <v>36145.31</v>
      </c>
      <c r="J22" s="143">
        <v>64194.972</v>
      </c>
      <c r="K22" s="143">
        <v>72921.696</v>
      </c>
      <c r="L22" s="143">
        <v>45833.292</v>
      </c>
      <c r="M22" s="143">
        <v>69364.512</v>
      </c>
      <c r="N22" s="143">
        <v>74214.915</v>
      </c>
    </row>
    <row r="23" spans="1:14" ht="15.75">
      <c r="A23" s="146" t="s">
        <v>73</v>
      </c>
      <c r="B23" s="144">
        <v>28619.303</v>
      </c>
      <c r="C23" s="144">
        <v>29372.686</v>
      </c>
      <c r="D23" s="144">
        <v>48865.989</v>
      </c>
      <c r="E23" s="148">
        <v>145456.56</v>
      </c>
      <c r="G23" s="152">
        <v>26220.506</v>
      </c>
      <c r="H23" s="143">
        <v>65833.088</v>
      </c>
      <c r="I23" s="143">
        <v>41051.019</v>
      </c>
      <c r="J23" s="143">
        <v>55318.578</v>
      </c>
      <c r="K23" s="143">
        <v>33955.915</v>
      </c>
      <c r="L23" s="143">
        <v>40662.488</v>
      </c>
      <c r="M23" s="143">
        <v>70017.559</v>
      </c>
      <c r="N23" s="143">
        <v>85662.676</v>
      </c>
    </row>
    <row r="24" spans="1:14" ht="15.75">
      <c r="A24" s="146" t="s">
        <v>72</v>
      </c>
      <c r="B24" s="144">
        <v>44513.146</v>
      </c>
      <c r="C24" s="144">
        <f>47077.031-9</f>
        <v>47068.031</v>
      </c>
      <c r="D24" s="145">
        <v>19518.365</v>
      </c>
      <c r="E24" s="392">
        <v>82867.531</v>
      </c>
      <c r="F24" s="392"/>
      <c r="G24" s="142">
        <v>98343.603</v>
      </c>
      <c r="H24" s="147">
        <v>95115.356</v>
      </c>
      <c r="I24" s="147">
        <v>63355.465</v>
      </c>
      <c r="J24" s="147">
        <v>93505.157</v>
      </c>
      <c r="K24" s="147">
        <v>65137.076</v>
      </c>
      <c r="L24" s="147">
        <v>73739.704</v>
      </c>
      <c r="M24" s="147">
        <v>48054.039</v>
      </c>
      <c r="N24" s="147">
        <v>39229.166</v>
      </c>
    </row>
    <row r="25" spans="1:14" ht="15.75">
      <c r="A25" s="146" t="s">
        <v>71</v>
      </c>
      <c r="B25" s="144">
        <f>53410.409+4838.762</f>
        <v>58249.171</v>
      </c>
      <c r="C25" s="145">
        <v>12627.204</v>
      </c>
      <c r="D25" s="144">
        <v>42586.367</v>
      </c>
      <c r="E25" s="144">
        <v>48419.675</v>
      </c>
      <c r="G25" s="143">
        <v>23462.928</v>
      </c>
      <c r="H25" s="143">
        <v>50467.138</v>
      </c>
      <c r="I25" s="141">
        <v>66792.714</v>
      </c>
      <c r="J25" s="143">
        <v>66031.751</v>
      </c>
      <c r="K25" s="143">
        <v>36957.482</v>
      </c>
      <c r="L25" s="142">
        <v>87601.345</v>
      </c>
      <c r="M25" s="147">
        <v>23415.477</v>
      </c>
      <c r="N25" s="147">
        <v>52598.735</v>
      </c>
    </row>
    <row r="26" spans="1:14" ht="16.5" thickBot="1">
      <c r="A26" s="146" t="s">
        <v>70</v>
      </c>
      <c r="B26" s="144">
        <v>47746.983</v>
      </c>
      <c r="C26" s="144">
        <v>55279.464</v>
      </c>
      <c r="D26" s="145">
        <v>33980.048</v>
      </c>
      <c r="E26" s="144">
        <v>81574.186</v>
      </c>
      <c r="G26" s="143">
        <v>70091.774</v>
      </c>
      <c r="H26" s="143">
        <v>80418.894</v>
      </c>
      <c r="I26" s="143">
        <v>79001.076</v>
      </c>
      <c r="J26" s="142">
        <v>100715.456</v>
      </c>
      <c r="K26" s="141">
        <v>48615.967</v>
      </c>
      <c r="L26" s="141">
        <v>60958.037</v>
      </c>
      <c r="M26" s="141">
        <v>63040.069</v>
      </c>
      <c r="N26" s="141">
        <v>36436.417</v>
      </c>
    </row>
    <row r="27" spans="1:14" ht="16.5" thickBot="1">
      <c r="A27" s="140" t="s">
        <v>83</v>
      </c>
      <c r="B27" s="139">
        <f>SUM(B15:B26)</f>
        <v>465352.12100000004</v>
      </c>
      <c r="C27" s="139">
        <f>SUM(C15:C26)</f>
        <v>486567.16800000006</v>
      </c>
      <c r="D27" s="139">
        <f>SUM(D15:D26)</f>
        <v>489357.545</v>
      </c>
      <c r="E27" s="139">
        <f>SUM(E15:E26)</f>
        <v>833578.862</v>
      </c>
      <c r="G27" s="139">
        <f aca="true" t="shared" si="0" ref="G27:L27">SUM(G15:G26)</f>
        <v>527002.8300000001</v>
      </c>
      <c r="H27" s="139">
        <f t="shared" si="0"/>
        <v>664120.69</v>
      </c>
      <c r="I27" s="139">
        <f t="shared" si="0"/>
        <v>669422.686</v>
      </c>
      <c r="J27" s="139">
        <f t="shared" si="0"/>
        <v>878317.1969999999</v>
      </c>
      <c r="K27" s="139">
        <f t="shared" si="0"/>
        <v>655411.0689999998</v>
      </c>
      <c r="L27" s="139">
        <f t="shared" si="0"/>
        <v>730473.081</v>
      </c>
      <c r="M27" s="139">
        <f>SUM(M15:M26)</f>
        <v>720108.725</v>
      </c>
      <c r="N27" s="139">
        <f>SUM(N15:N26)</f>
        <v>606776.494</v>
      </c>
    </row>
    <row r="28" ht="15">
      <c r="E28" s="138"/>
    </row>
    <row r="29" spans="1:14" ht="15.75">
      <c r="A29" s="387"/>
      <c r="B29" s="387"/>
      <c r="C29" s="387"/>
      <c r="D29" s="387"/>
      <c r="E29" s="155">
        <v>2008</v>
      </c>
      <c r="G29" s="155">
        <v>2009</v>
      </c>
      <c r="H29" s="155">
        <v>2010</v>
      </c>
      <c r="I29" s="155">
        <v>2011</v>
      </c>
      <c r="J29" s="155">
        <v>2012</v>
      </c>
      <c r="K29" s="155">
        <v>2013</v>
      </c>
      <c r="L29" s="155">
        <v>2014</v>
      </c>
      <c r="M29" s="157">
        <v>2015</v>
      </c>
      <c r="N29" s="157">
        <v>2016</v>
      </c>
    </row>
    <row r="30" spans="1:14" ht="15.75">
      <c r="A30" s="384" t="s">
        <v>194</v>
      </c>
      <c r="B30" s="385"/>
      <c r="C30" s="385"/>
      <c r="D30" s="386"/>
      <c r="E30" s="139">
        <v>833578.862</v>
      </c>
      <c r="G30" s="139">
        <v>527002.83</v>
      </c>
      <c r="H30" s="139">
        <v>664120.69</v>
      </c>
      <c r="I30" s="139">
        <v>669422.686</v>
      </c>
      <c r="J30" s="139">
        <v>878317.197</v>
      </c>
      <c r="K30" s="139">
        <v>655411.069</v>
      </c>
      <c r="L30" s="139">
        <v>730473.081</v>
      </c>
      <c r="M30" s="280">
        <f>M27</f>
        <v>720108.725</v>
      </c>
      <c r="N30" s="280">
        <f>N27</f>
        <v>606776.494</v>
      </c>
    </row>
  </sheetData>
  <sheetProtection/>
  <mergeCells count="9">
    <mergeCell ref="A30:D30"/>
    <mergeCell ref="A29:D29"/>
    <mergeCell ref="A9:L9"/>
    <mergeCell ref="J2:L2"/>
    <mergeCell ref="J3:L3"/>
    <mergeCell ref="J1:L1"/>
    <mergeCell ref="E24:F24"/>
    <mergeCell ref="A13:J13"/>
    <mergeCell ref="A12:L12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2"/>
  <ignoredErrors>
    <ignoredError sqref="L2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53"/>
  <sheetViews>
    <sheetView showGridLines="0" zoomScale="75" zoomScaleNormal="75" zoomScalePageLayoutView="0" workbookViewId="0" topLeftCell="A22">
      <selection activeCell="C22" sqref="C22"/>
    </sheetView>
  </sheetViews>
  <sheetFormatPr defaultColWidth="9.140625" defaultRowHeight="12.75"/>
  <cols>
    <col min="1" max="1" width="24.421875" style="0" customWidth="1"/>
    <col min="2" max="2" width="32.57421875" style="0" customWidth="1"/>
    <col min="3" max="3" width="22.28125" style="0" bestFit="1" customWidth="1"/>
    <col min="4" max="4" width="19.00390625" style="0" customWidth="1"/>
  </cols>
  <sheetData>
    <row r="6" spans="1:3" ht="12.75">
      <c r="A6" s="239" t="s">
        <v>107</v>
      </c>
      <c r="B6" s="239"/>
      <c r="C6" s="239"/>
    </row>
    <row r="7" spans="1:3" ht="15">
      <c r="A7" s="110"/>
      <c r="B7" s="110"/>
      <c r="C7" s="110"/>
    </row>
    <row r="8" spans="1:3" ht="15.75">
      <c r="A8" s="113" t="s">
        <v>106</v>
      </c>
      <c r="B8" s="113" t="s">
        <v>105</v>
      </c>
      <c r="C8" s="113" t="s">
        <v>104</v>
      </c>
    </row>
    <row r="9" spans="1:3" ht="15">
      <c r="A9" s="160" t="s">
        <v>103</v>
      </c>
      <c r="B9" s="161">
        <v>0</v>
      </c>
      <c r="C9" s="161">
        <v>0</v>
      </c>
    </row>
    <row r="10" spans="1:3" ht="15">
      <c r="A10" s="160" t="s">
        <v>181</v>
      </c>
      <c r="B10" s="159">
        <v>730473.081</v>
      </c>
      <c r="C10" s="159">
        <f aca="true" t="shared" si="0" ref="C10:C31">B10/12</f>
        <v>60872.75675</v>
      </c>
    </row>
    <row r="11" spans="1:3" ht="15">
      <c r="A11" s="160" t="s">
        <v>190</v>
      </c>
      <c r="B11" s="159">
        <v>741998.096</v>
      </c>
      <c r="C11" s="159">
        <f t="shared" si="0"/>
        <v>61833.174666666666</v>
      </c>
    </row>
    <row r="12" spans="1:3" ht="15">
      <c r="A12" s="160" t="s">
        <v>193</v>
      </c>
      <c r="B12" s="159">
        <v>781915.254</v>
      </c>
      <c r="C12" s="286">
        <f t="shared" si="0"/>
        <v>65159.604499999994</v>
      </c>
    </row>
    <row r="13" spans="1:3" ht="15">
      <c r="A13" s="160" t="s">
        <v>195</v>
      </c>
      <c r="B13" s="159">
        <v>778903.231</v>
      </c>
      <c r="C13" s="286">
        <f t="shared" si="0"/>
        <v>64908.60258333333</v>
      </c>
    </row>
    <row r="14" spans="1:3" ht="15">
      <c r="A14" s="160" t="s">
        <v>196</v>
      </c>
      <c r="B14" s="159">
        <v>786729.244</v>
      </c>
      <c r="C14" s="286">
        <f t="shared" si="0"/>
        <v>65560.77033333333</v>
      </c>
    </row>
    <row r="15" spans="1:3" ht="15">
      <c r="A15" s="160" t="s">
        <v>197</v>
      </c>
      <c r="B15" s="159">
        <v>790104.59</v>
      </c>
      <c r="C15" s="286">
        <f t="shared" si="0"/>
        <v>65842.04916666666</v>
      </c>
    </row>
    <row r="16" spans="1:3" ht="15">
      <c r="A16" s="160" t="s">
        <v>198</v>
      </c>
      <c r="B16" s="159">
        <v>763324.45</v>
      </c>
      <c r="C16" s="286">
        <f t="shared" si="0"/>
        <v>63610.37083333333</v>
      </c>
    </row>
    <row r="17" spans="1:3" ht="15">
      <c r="A17" s="160" t="s">
        <v>199</v>
      </c>
      <c r="B17" s="159">
        <v>755011.935</v>
      </c>
      <c r="C17" s="286">
        <f t="shared" si="0"/>
        <v>62917.661250000005</v>
      </c>
    </row>
    <row r="18" spans="1:3" ht="15">
      <c r="A18" s="160" t="s">
        <v>203</v>
      </c>
      <c r="B18" s="159">
        <v>778543.155</v>
      </c>
      <c r="C18" s="286">
        <f t="shared" si="0"/>
        <v>64878.59625</v>
      </c>
    </row>
    <row r="19" spans="1:3" ht="15">
      <c r="A19" s="160" t="s">
        <v>206</v>
      </c>
      <c r="B19" s="159">
        <v>807898.226</v>
      </c>
      <c r="C19" s="286">
        <f t="shared" si="0"/>
        <v>67324.85216666666</v>
      </c>
    </row>
    <row r="20" spans="1:3" ht="15">
      <c r="A20" s="160" t="s">
        <v>208</v>
      </c>
      <c r="B20" s="159">
        <v>782212.561</v>
      </c>
      <c r="C20" s="286">
        <f t="shared" si="0"/>
        <v>65184.38008333333</v>
      </c>
    </row>
    <row r="21" spans="1:3" ht="15">
      <c r="A21" s="160" t="s">
        <v>214</v>
      </c>
      <c r="B21" s="159">
        <v>718026.693</v>
      </c>
      <c r="C21" s="286">
        <f t="shared" si="0"/>
        <v>59835.55775</v>
      </c>
    </row>
    <row r="22" spans="1:3" ht="15">
      <c r="A22" s="160" t="s">
        <v>215</v>
      </c>
      <c r="B22" s="159">
        <v>720108.725</v>
      </c>
      <c r="C22" s="286">
        <f t="shared" si="0"/>
        <v>60009.06041666667</v>
      </c>
    </row>
    <row r="23" spans="1:3" ht="15">
      <c r="A23" s="160" t="s">
        <v>229</v>
      </c>
      <c r="B23" s="159">
        <v>674117.157</v>
      </c>
      <c r="C23" s="286">
        <f t="shared" si="0"/>
        <v>56176.42975</v>
      </c>
    </row>
    <row r="24" spans="1:3" ht="15">
      <c r="A24" s="160" t="s">
        <v>241</v>
      </c>
      <c r="B24" s="159">
        <v>643356.98</v>
      </c>
      <c r="C24" s="286">
        <f t="shared" si="0"/>
        <v>53613.081666666665</v>
      </c>
    </row>
    <row r="25" spans="1:3" ht="15">
      <c r="A25" s="160" t="s">
        <v>248</v>
      </c>
      <c r="B25" s="159">
        <v>680256.762</v>
      </c>
      <c r="C25" s="286">
        <f t="shared" si="0"/>
        <v>56688.0635</v>
      </c>
    </row>
    <row r="26" spans="1:3" ht="15">
      <c r="A26" s="160" t="s">
        <v>285</v>
      </c>
      <c r="B26" s="159">
        <v>644418.002</v>
      </c>
      <c r="C26" s="286">
        <f t="shared" si="0"/>
        <v>53701.500166666665</v>
      </c>
    </row>
    <row r="27" spans="1:3" ht="15">
      <c r="A27" s="160" t="s">
        <v>288</v>
      </c>
      <c r="B27" s="159">
        <v>604516.723</v>
      </c>
      <c r="C27" s="286">
        <f t="shared" si="0"/>
        <v>50376.39358333333</v>
      </c>
    </row>
    <row r="28" spans="1:3" ht="15">
      <c r="A28" s="160" t="s">
        <v>307</v>
      </c>
      <c r="B28" s="159">
        <v>603555.009</v>
      </c>
      <c r="C28" s="286">
        <f t="shared" si="0"/>
        <v>50296.25075</v>
      </c>
    </row>
    <row r="29" spans="1:3" ht="15">
      <c r="A29" s="160" t="s">
        <v>324</v>
      </c>
      <c r="B29" s="159">
        <v>592526.241</v>
      </c>
      <c r="C29" s="286">
        <f t="shared" si="0"/>
        <v>49377.18675</v>
      </c>
    </row>
    <row r="30" spans="1:4" ht="18">
      <c r="A30" s="160" t="s">
        <v>342</v>
      </c>
      <c r="B30" s="159">
        <v>644207.598</v>
      </c>
      <c r="C30" s="286">
        <f t="shared" si="0"/>
        <v>53683.9665</v>
      </c>
      <c r="D30" s="94"/>
    </row>
    <row r="31" spans="1:3" ht="15">
      <c r="A31" s="160" t="s">
        <v>370</v>
      </c>
      <c r="B31" s="159">
        <v>613021.761</v>
      </c>
      <c r="C31" s="286">
        <f t="shared" si="0"/>
        <v>51085.14675000001</v>
      </c>
    </row>
    <row r="32" spans="1:4" ht="15">
      <c r="A32" s="160" t="s">
        <v>405</v>
      </c>
      <c r="B32" s="159">
        <v>604196.888</v>
      </c>
      <c r="C32" s="286">
        <f>B32/12</f>
        <v>50349.74066666667</v>
      </c>
      <c r="D32" s="238"/>
    </row>
    <row r="33" spans="1:4" ht="15">
      <c r="A33" s="160" t="s">
        <v>425</v>
      </c>
      <c r="B33" s="159">
        <v>633380.146</v>
      </c>
      <c r="C33" s="286">
        <f>B33/12</f>
        <v>52781.67883333333</v>
      </c>
      <c r="D33" s="238"/>
    </row>
    <row r="34" spans="1:4" ht="18">
      <c r="A34" s="160" t="s">
        <v>431</v>
      </c>
      <c r="B34" s="159">
        <v>606776.494</v>
      </c>
      <c r="C34" s="286">
        <f>B34/12</f>
        <v>50564.70783333333</v>
      </c>
      <c r="D34" s="94"/>
    </row>
    <row r="35" ht="12.75">
      <c r="D35" s="238"/>
    </row>
    <row r="36" ht="15">
      <c r="D36" s="100"/>
    </row>
    <row r="37" spans="2:4" ht="15">
      <c r="B37" s="238"/>
      <c r="D37" s="100"/>
    </row>
    <row r="38" ht="15">
      <c r="D38" s="274"/>
    </row>
    <row r="39" ht="15">
      <c r="D39" s="274"/>
    </row>
    <row r="40" ht="15">
      <c r="D40" s="274"/>
    </row>
    <row r="53" ht="12.75">
      <c r="C53" s="158"/>
    </row>
  </sheetData>
  <sheetProtection/>
  <printOptions horizontalCentered="1" verticalCentered="1"/>
  <pageMargins left="0.31496062992125984" right="0.11811023622047245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8"/>
  <sheetViews>
    <sheetView showGridLines="0" zoomScale="75" zoomScaleNormal="75" zoomScalePageLayoutView="0" workbookViewId="0" topLeftCell="A7">
      <selection activeCell="J25" sqref="J25"/>
    </sheetView>
  </sheetViews>
  <sheetFormatPr defaultColWidth="9.140625" defaultRowHeight="12.75"/>
  <cols>
    <col min="1" max="1" width="25.00390625" style="90" customWidth="1"/>
    <col min="2" max="2" width="25.140625" style="90" bestFit="1" customWidth="1"/>
    <col min="3" max="3" width="20.8515625" style="90" bestFit="1" customWidth="1"/>
    <col min="4" max="4" width="22.421875" style="90" bestFit="1" customWidth="1"/>
    <col min="5" max="5" width="25.140625" style="90" bestFit="1" customWidth="1"/>
    <col min="6" max="6" width="20.8515625" style="90" bestFit="1" customWidth="1"/>
    <col min="7" max="7" width="18.8515625" style="90" customWidth="1"/>
    <col min="8" max="8" width="1.7109375" style="91" customWidth="1"/>
    <col min="9" max="9" width="14.00390625" style="90" customWidth="1"/>
    <col min="10" max="10" width="26.421875" style="90" bestFit="1" customWidth="1"/>
    <col min="11" max="11" width="14.00390625" style="90" bestFit="1" customWidth="1"/>
    <col min="12" max="16384" width="9.140625" style="90" customWidth="1"/>
  </cols>
  <sheetData>
    <row r="2" spans="1:9" ht="23.25">
      <c r="A2" s="400" t="s">
        <v>91</v>
      </c>
      <c r="B2" s="400"/>
      <c r="C2" s="400"/>
      <c r="D2" s="400"/>
      <c r="E2" s="400"/>
      <c r="F2" s="400"/>
      <c r="G2" s="400"/>
      <c r="H2" s="400"/>
      <c r="I2" s="400"/>
    </row>
    <row r="4" spans="1:9" ht="20.25">
      <c r="A4" s="401" t="s">
        <v>90</v>
      </c>
      <c r="B4" s="401"/>
      <c r="C4" s="401"/>
      <c r="D4" s="401"/>
      <c r="E4" s="401"/>
      <c r="F4" s="401"/>
      <c r="G4" s="401"/>
      <c r="H4" s="401"/>
      <c r="I4" s="401"/>
    </row>
    <row r="5" spans="1:9" ht="20.25">
      <c r="A5" s="401" t="s">
        <v>89</v>
      </c>
      <c r="B5" s="401"/>
      <c r="C5" s="401"/>
      <c r="D5" s="401"/>
      <c r="E5" s="401"/>
      <c r="F5" s="401"/>
      <c r="G5" s="401"/>
      <c r="H5" s="401"/>
      <c r="I5" s="401"/>
    </row>
    <row r="6" spans="1:9" ht="20.25">
      <c r="A6" s="401" t="s">
        <v>88</v>
      </c>
      <c r="B6" s="401"/>
      <c r="C6" s="401"/>
      <c r="D6" s="401"/>
      <c r="E6" s="401"/>
      <c r="F6" s="401"/>
      <c r="G6" s="401"/>
      <c r="H6" s="401"/>
      <c r="I6" s="401"/>
    </row>
    <row r="7" spans="1:8" ht="20.25">
      <c r="A7" s="118"/>
      <c r="B7" s="118"/>
      <c r="C7" s="118"/>
      <c r="D7" s="118"/>
      <c r="E7" s="118"/>
      <c r="F7" s="401"/>
      <c r="G7" s="401"/>
      <c r="H7" s="401"/>
    </row>
    <row r="9" spans="1:14" ht="23.25">
      <c r="A9" s="117"/>
      <c r="B9" s="395">
        <v>2015</v>
      </c>
      <c r="C9" s="396"/>
      <c r="D9" s="397"/>
      <c r="E9" s="395">
        <v>2016</v>
      </c>
      <c r="F9" s="396"/>
      <c r="G9" s="397"/>
      <c r="H9" s="116"/>
      <c r="I9" s="115" t="s">
        <v>87</v>
      </c>
      <c r="J9" s="106"/>
      <c r="K9" s="106"/>
      <c r="L9" s="106"/>
      <c r="M9" s="106"/>
      <c r="N9" s="106"/>
    </row>
    <row r="10" spans="1:14" ht="20.25">
      <c r="A10" s="98" t="s">
        <v>86</v>
      </c>
      <c r="B10" s="114" t="s">
        <v>85</v>
      </c>
      <c r="C10" s="114" t="s">
        <v>84</v>
      </c>
      <c r="D10" s="113" t="s">
        <v>83</v>
      </c>
      <c r="E10" s="114" t="s">
        <v>85</v>
      </c>
      <c r="F10" s="114" t="s">
        <v>84</v>
      </c>
      <c r="G10" s="113" t="s">
        <v>83</v>
      </c>
      <c r="H10" s="112"/>
      <c r="I10" s="111" t="s">
        <v>82</v>
      </c>
      <c r="J10" s="106"/>
      <c r="K10" s="106"/>
      <c r="L10" s="106"/>
      <c r="M10" s="106"/>
      <c r="N10" s="106"/>
    </row>
    <row r="11" spans="1:14" ht="20.25">
      <c r="A11" s="296"/>
      <c r="B11" s="292"/>
      <c r="C11" s="110"/>
      <c r="D11" s="297"/>
      <c r="E11" s="292"/>
      <c r="F11" s="110"/>
      <c r="G11" s="297"/>
      <c r="H11" s="109"/>
      <c r="I11" s="108"/>
      <c r="J11" s="106"/>
      <c r="K11" s="106"/>
      <c r="L11" s="106"/>
      <c r="M11" s="106"/>
      <c r="N11" s="106"/>
    </row>
    <row r="12" spans="1:14" ht="20.25">
      <c r="A12" s="295" t="s">
        <v>81</v>
      </c>
      <c r="B12" s="102">
        <v>71030.198</v>
      </c>
      <c r="C12" s="100">
        <v>3056.552</v>
      </c>
      <c r="D12" s="291">
        <f>B12+C12</f>
        <v>74086.75</v>
      </c>
      <c r="E12" s="102">
        <v>25650.79</v>
      </c>
      <c r="F12" s="100">
        <v>2444.392</v>
      </c>
      <c r="G12" s="291">
        <f>E12+F12</f>
        <v>28095.182</v>
      </c>
      <c r="H12" s="99"/>
      <c r="I12" s="281">
        <v>-0.6208</v>
      </c>
      <c r="J12" s="107"/>
      <c r="K12" s="106"/>
      <c r="L12" s="106"/>
      <c r="M12" s="106"/>
      <c r="N12" s="106"/>
    </row>
    <row r="13" spans="1:11" ht="20.25">
      <c r="A13" s="295" t="s">
        <v>80</v>
      </c>
      <c r="B13" s="102">
        <v>57193.683</v>
      </c>
      <c r="C13" s="100">
        <v>2594.195</v>
      </c>
      <c r="D13" s="293">
        <f>SUM(B13:C13)</f>
        <v>59787.878</v>
      </c>
      <c r="E13" s="102">
        <v>26024.305</v>
      </c>
      <c r="F13" s="100">
        <v>3003.396</v>
      </c>
      <c r="G13" s="293">
        <f>SUM(E13:F13)</f>
        <v>29027.701</v>
      </c>
      <c r="H13" s="99"/>
      <c r="I13" s="281">
        <v>-0.5145</v>
      </c>
      <c r="J13" s="101"/>
      <c r="K13" s="101"/>
    </row>
    <row r="14" spans="1:10" ht="20.25">
      <c r="A14" s="295" t="s">
        <v>79</v>
      </c>
      <c r="B14" s="102">
        <v>42626.053</v>
      </c>
      <c r="C14" s="100">
        <v>4426.448</v>
      </c>
      <c r="D14" s="294">
        <f>SUM(B14,C14)</f>
        <v>47052.501000000004</v>
      </c>
      <c r="E14" s="102">
        <v>76262.404</v>
      </c>
      <c r="F14" s="100">
        <v>7689.879</v>
      </c>
      <c r="G14" s="294">
        <f>SUM(E14,F14)</f>
        <v>83952.283</v>
      </c>
      <c r="H14" s="99"/>
      <c r="I14" s="281">
        <v>0.7842</v>
      </c>
      <c r="J14" s="105"/>
    </row>
    <row r="15" spans="1:9" ht="20.25">
      <c r="A15" s="295" t="s">
        <v>78</v>
      </c>
      <c r="B15" s="102">
        <v>78820.224</v>
      </c>
      <c r="C15" s="100">
        <v>2694.843</v>
      </c>
      <c r="D15" s="293">
        <f>B15+C15</f>
        <v>81515.067</v>
      </c>
      <c r="E15" s="102">
        <v>41987.842</v>
      </c>
      <c r="F15" s="100">
        <v>3688.465</v>
      </c>
      <c r="G15" s="293">
        <f>E15+F15</f>
        <v>45676.307</v>
      </c>
      <c r="H15" s="103"/>
      <c r="I15" s="281">
        <v>-0.4397</v>
      </c>
    </row>
    <row r="16" spans="1:10" ht="20.25">
      <c r="A16" s="295" t="s">
        <v>77</v>
      </c>
      <c r="B16" s="102">
        <v>71317.545</v>
      </c>
      <c r="C16" s="100">
        <v>7537.543</v>
      </c>
      <c r="D16" s="293">
        <f>SUM(B16,C16)</f>
        <v>78855.088</v>
      </c>
      <c r="E16" s="102">
        <v>32768.715</v>
      </c>
      <c r="F16" s="100">
        <v>6185.094</v>
      </c>
      <c r="G16" s="293">
        <f>SUM(E16,F16)</f>
        <v>38953.808999999994</v>
      </c>
      <c r="H16" s="103"/>
      <c r="I16" s="281">
        <v>-0.506</v>
      </c>
      <c r="J16" s="101"/>
    </row>
    <row r="17" spans="1:10" ht="20.25">
      <c r="A17" s="295" t="s">
        <v>76</v>
      </c>
      <c r="B17" s="102">
        <v>36914.146</v>
      </c>
      <c r="C17" s="100">
        <v>4843.858</v>
      </c>
      <c r="D17" s="293">
        <f>SUM(B17:C17)</f>
        <v>41758.004</v>
      </c>
      <c r="E17" s="102">
        <v>33981.094</v>
      </c>
      <c r="F17" s="100">
        <v>6815.196</v>
      </c>
      <c r="G17" s="293">
        <f aca="true" t="shared" si="0" ref="G17:G23">SUM(E17:F17)</f>
        <v>40796.28999999999</v>
      </c>
      <c r="H17" s="103"/>
      <c r="I17" s="281">
        <v>-0.023</v>
      </c>
      <c r="J17" s="101"/>
    </row>
    <row r="18" spans="1:10" ht="20.25">
      <c r="A18" s="295" t="s">
        <v>75</v>
      </c>
      <c r="B18" s="102">
        <v>52742.027</v>
      </c>
      <c r="C18" s="100">
        <v>10419.754</v>
      </c>
      <c r="D18" s="293">
        <v>63161.781</v>
      </c>
      <c r="E18" s="102">
        <v>47636.878</v>
      </c>
      <c r="F18" s="100">
        <v>4496.135</v>
      </c>
      <c r="G18" s="293">
        <f t="shared" si="0"/>
        <v>52133.013</v>
      </c>
      <c r="H18" s="99"/>
      <c r="I18" s="316">
        <v>-0.1746</v>
      </c>
      <c r="J18" s="104"/>
    </row>
    <row r="19" spans="1:10" ht="20.25">
      <c r="A19" s="295" t="s">
        <v>74</v>
      </c>
      <c r="B19" s="102">
        <v>62346.933</v>
      </c>
      <c r="C19" s="100">
        <v>7017.579</v>
      </c>
      <c r="D19" s="293">
        <f>SUM(B19:C19)</f>
        <v>69364.512</v>
      </c>
      <c r="E19" s="102">
        <v>39147.331</v>
      </c>
      <c r="F19" s="100">
        <v>35067.584</v>
      </c>
      <c r="G19" s="293">
        <f t="shared" si="0"/>
        <v>74214.91500000001</v>
      </c>
      <c r="H19" s="99"/>
      <c r="I19" s="316">
        <v>0.07</v>
      </c>
      <c r="J19" s="101"/>
    </row>
    <row r="20" spans="1:9" ht="20.25">
      <c r="A20" s="295" t="s">
        <v>73</v>
      </c>
      <c r="B20" s="102">
        <v>64851.707</v>
      </c>
      <c r="C20" s="100">
        <v>5165.852</v>
      </c>
      <c r="D20" s="293">
        <f>SUM(B20:C20)</f>
        <v>70017.55900000001</v>
      </c>
      <c r="E20" s="102">
        <v>80133.176</v>
      </c>
      <c r="F20" s="100">
        <v>5529.5</v>
      </c>
      <c r="G20" s="293">
        <f t="shared" si="0"/>
        <v>85662.676</v>
      </c>
      <c r="H20" s="99"/>
      <c r="I20" s="317">
        <v>0.2234</v>
      </c>
    </row>
    <row r="21" spans="1:9" ht="20.25">
      <c r="A21" s="295" t="s">
        <v>72</v>
      </c>
      <c r="B21" s="102">
        <v>40408.476</v>
      </c>
      <c r="C21" s="100">
        <v>7645.563</v>
      </c>
      <c r="D21" s="294">
        <f>SUM(B21:C21)</f>
        <v>48054.039000000004</v>
      </c>
      <c r="E21" s="102">
        <v>31574.127</v>
      </c>
      <c r="F21" s="100">
        <v>7655.039</v>
      </c>
      <c r="G21" s="294">
        <f t="shared" si="0"/>
        <v>39229.166</v>
      </c>
      <c r="H21" s="103"/>
      <c r="I21" s="317">
        <v>-0.1837</v>
      </c>
    </row>
    <row r="22" spans="1:11" ht="20.25">
      <c r="A22" s="295" t="s">
        <v>71</v>
      </c>
      <c r="B22" s="102">
        <v>21122.619</v>
      </c>
      <c r="C22" s="100">
        <v>2292.858</v>
      </c>
      <c r="D22" s="293">
        <f>SUM(B22:C22)</f>
        <v>23415.477</v>
      </c>
      <c r="E22" s="102">
        <v>44110.464</v>
      </c>
      <c r="F22" s="100">
        <v>8488.271</v>
      </c>
      <c r="G22" s="293">
        <f t="shared" si="0"/>
        <v>52598.735</v>
      </c>
      <c r="H22" s="99"/>
      <c r="I22" s="317">
        <v>1.2463</v>
      </c>
      <c r="J22" s="101"/>
      <c r="K22" s="90" t="s">
        <v>12</v>
      </c>
    </row>
    <row r="23" spans="1:9" ht="20.25">
      <c r="A23" s="295" t="s">
        <v>70</v>
      </c>
      <c r="B23" s="327">
        <v>56358.241</v>
      </c>
      <c r="C23" s="100">
        <v>6681.828</v>
      </c>
      <c r="D23" s="328">
        <f>SUM(B23:C23)</f>
        <v>63040.069</v>
      </c>
      <c r="E23" s="327">
        <v>31760.965</v>
      </c>
      <c r="F23" s="100">
        <v>4675.452</v>
      </c>
      <c r="G23" s="328">
        <f t="shared" si="0"/>
        <v>36436.417</v>
      </c>
      <c r="H23" s="99"/>
      <c r="I23" s="281">
        <v>-0.422</v>
      </c>
    </row>
    <row r="24" spans="1:11" ht="20.25">
      <c r="A24" s="98" t="s">
        <v>19</v>
      </c>
      <c r="B24" s="97">
        <f aca="true" t="shared" si="1" ref="B24:G24">SUM(B12:B23)</f>
        <v>655731.8520000001</v>
      </c>
      <c r="C24" s="97">
        <f t="shared" si="1"/>
        <v>64376.873</v>
      </c>
      <c r="D24" s="97">
        <f t="shared" si="1"/>
        <v>720108.725</v>
      </c>
      <c r="E24" s="97">
        <f t="shared" si="1"/>
        <v>511038.0909999999</v>
      </c>
      <c r="F24" s="97">
        <f t="shared" si="1"/>
        <v>95738.403</v>
      </c>
      <c r="G24" s="97">
        <f t="shared" si="1"/>
        <v>606776.494</v>
      </c>
      <c r="H24" s="96"/>
      <c r="I24" s="329">
        <v>-0.1574</v>
      </c>
      <c r="K24" s="95"/>
    </row>
    <row r="25" spans="2:9" ht="20.25">
      <c r="B25" s="94"/>
      <c r="C25" s="94"/>
      <c r="D25" s="94"/>
      <c r="E25" s="94"/>
      <c r="F25" s="94"/>
      <c r="G25" s="399"/>
      <c r="H25" s="399"/>
      <c r="I25" s="399"/>
    </row>
    <row r="26" spans="2:9" ht="20.25">
      <c r="B26" s="94"/>
      <c r="C26" s="94"/>
      <c r="D26" s="94"/>
      <c r="E26" s="94"/>
      <c r="F26" s="94"/>
      <c r="G26" s="402"/>
      <c r="H26" s="402"/>
      <c r="I26" s="402"/>
    </row>
    <row r="27" spans="2:9" ht="20.25">
      <c r="B27" s="94"/>
      <c r="C27" s="94"/>
      <c r="D27" s="94"/>
      <c r="E27" s="94"/>
      <c r="F27" s="94"/>
      <c r="G27" s="398"/>
      <c r="H27" s="398"/>
      <c r="I27" s="398"/>
    </row>
    <row r="28" spans="2:8" ht="20.25">
      <c r="B28" s="93"/>
      <c r="C28" s="93"/>
      <c r="D28" s="93"/>
      <c r="E28" s="93"/>
      <c r="F28" s="93"/>
      <c r="G28" s="93"/>
      <c r="H28" s="92"/>
    </row>
  </sheetData>
  <sheetProtection/>
  <mergeCells count="10">
    <mergeCell ref="E9:G9"/>
    <mergeCell ref="G27:I27"/>
    <mergeCell ref="B9:D9"/>
    <mergeCell ref="G25:I25"/>
    <mergeCell ref="A2:I2"/>
    <mergeCell ref="A4:I4"/>
    <mergeCell ref="A5:I5"/>
    <mergeCell ref="A6:I6"/>
    <mergeCell ref="F7:H7"/>
    <mergeCell ref="G26:I26"/>
  </mergeCells>
  <printOptions horizontalCentered="1" vertic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80" r:id="rId2"/>
  <ignoredErrors>
    <ignoredError sqref="G1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59"/>
  <sheetViews>
    <sheetView showGridLines="0" zoomScale="75" zoomScaleNormal="75" zoomScalePageLayoutView="0" workbookViewId="0" topLeftCell="A32">
      <selection activeCell="C57" sqref="C57"/>
    </sheetView>
  </sheetViews>
  <sheetFormatPr defaultColWidth="9.140625" defaultRowHeight="12.75"/>
  <cols>
    <col min="1" max="1" width="33.140625" style="0" bestFit="1" customWidth="1"/>
    <col min="2" max="2" width="18.00390625" style="0" customWidth="1"/>
    <col min="3" max="3" width="12.7109375" style="0" customWidth="1"/>
    <col min="4" max="4" width="33.140625" style="0" bestFit="1" customWidth="1"/>
    <col min="5" max="5" width="27.140625" style="0" customWidth="1"/>
    <col min="6" max="6" width="16.28125" style="0" bestFit="1" customWidth="1"/>
    <col min="7" max="7" width="14.140625" style="0" bestFit="1" customWidth="1"/>
    <col min="8" max="8" width="10.421875" style="0" bestFit="1" customWidth="1"/>
  </cols>
  <sheetData>
    <row r="5" ht="13.5" thickBot="1"/>
    <row r="6" spans="1:5" ht="15.75" thickBot="1">
      <c r="A6" s="403" t="s">
        <v>142</v>
      </c>
      <c r="B6" s="404"/>
      <c r="C6" s="404"/>
      <c r="D6" s="404"/>
      <c r="E6" s="405"/>
    </row>
    <row r="7" spans="1:5" ht="15.75" thickBot="1">
      <c r="A7" s="403" t="s">
        <v>141</v>
      </c>
      <c r="B7" s="404"/>
      <c r="C7" s="404"/>
      <c r="D7" s="404"/>
      <c r="E7" s="405"/>
    </row>
    <row r="8" ht="13.5" thickBot="1"/>
    <row r="9" spans="1:5" ht="21.75" thickBot="1">
      <c r="A9" s="413" t="s">
        <v>216</v>
      </c>
      <c r="B9" s="414"/>
      <c r="C9" s="189"/>
      <c r="D9" s="413" t="s">
        <v>230</v>
      </c>
      <c r="E9" s="414"/>
    </row>
    <row r="10" spans="1:5" ht="18.75">
      <c r="A10" s="410" t="s">
        <v>140</v>
      </c>
      <c r="B10" s="410"/>
      <c r="C10" s="189"/>
      <c r="D10" s="410" t="s">
        <v>140</v>
      </c>
      <c r="E10" s="410"/>
    </row>
    <row r="11" spans="1:5" ht="18.75">
      <c r="A11" s="198" t="s">
        <v>139</v>
      </c>
      <c r="B11" s="287">
        <v>270137.04</v>
      </c>
      <c r="D11" s="198" t="s">
        <v>139</v>
      </c>
      <c r="E11" s="287">
        <v>269424.44</v>
      </c>
    </row>
    <row r="12" spans="1:5" ht="18.75">
      <c r="A12" s="198" t="s">
        <v>138</v>
      </c>
      <c r="B12" s="287">
        <v>101061.97</v>
      </c>
      <c r="D12" s="198" t="s">
        <v>138</v>
      </c>
      <c r="E12" s="287">
        <v>82800.44</v>
      </c>
    </row>
    <row r="13" spans="1:5" ht="18.75">
      <c r="A13" s="198" t="s">
        <v>137</v>
      </c>
      <c r="B13" s="287">
        <f>5976.83+104315.01</f>
        <v>110291.84</v>
      </c>
      <c r="D13" s="198" t="s">
        <v>137</v>
      </c>
      <c r="E13" s="287">
        <f>25480.47+98556.7</f>
        <v>124037.17</v>
      </c>
    </row>
    <row r="14" spans="1:5" ht="18.75">
      <c r="A14" s="198" t="s">
        <v>136</v>
      </c>
      <c r="B14" s="287">
        <v>2457.202</v>
      </c>
      <c r="D14" s="198" t="s">
        <v>136</v>
      </c>
      <c r="E14" s="287">
        <v>2981.847</v>
      </c>
    </row>
    <row r="15" spans="1:5" ht="18.75">
      <c r="A15" s="198" t="s">
        <v>125</v>
      </c>
      <c r="B15" s="298">
        <v>0</v>
      </c>
      <c r="D15" s="198" t="s">
        <v>125</v>
      </c>
      <c r="E15" s="298">
        <v>0</v>
      </c>
    </row>
    <row r="16" spans="1:5" ht="18.75">
      <c r="A16" s="198" t="s">
        <v>135</v>
      </c>
      <c r="B16" s="287">
        <v>30440.78</v>
      </c>
      <c r="D16" s="198" t="s">
        <v>135</v>
      </c>
      <c r="E16" s="287">
        <v>20270.12</v>
      </c>
    </row>
    <row r="17" spans="1:5" ht="18.75">
      <c r="A17" s="198" t="s">
        <v>175</v>
      </c>
      <c r="B17" s="298">
        <v>0</v>
      </c>
      <c r="D17" s="198" t="s">
        <v>175</v>
      </c>
      <c r="E17" s="298">
        <v>0</v>
      </c>
    </row>
    <row r="18" spans="1:5" ht="18.75">
      <c r="A18" s="198" t="s">
        <v>174</v>
      </c>
      <c r="B18" s="287">
        <v>840.095</v>
      </c>
      <c r="D18" s="198" t="s">
        <v>174</v>
      </c>
      <c r="E18" s="287">
        <v>736.267</v>
      </c>
    </row>
    <row r="19" spans="1:5" ht="18.75">
      <c r="A19" s="197" t="s">
        <v>134</v>
      </c>
      <c r="B19" s="298">
        <v>0</v>
      </c>
      <c r="D19" s="197" t="s">
        <v>134</v>
      </c>
      <c r="E19" s="298">
        <v>0</v>
      </c>
    </row>
    <row r="20" spans="1:5" ht="18.75">
      <c r="A20" s="197" t="s">
        <v>133</v>
      </c>
      <c r="B20" s="298">
        <v>0</v>
      </c>
      <c r="D20" s="197" t="s">
        <v>133</v>
      </c>
      <c r="E20" s="298">
        <v>0</v>
      </c>
    </row>
    <row r="21" spans="1:5" ht="18.75">
      <c r="A21" s="197" t="s">
        <v>129</v>
      </c>
      <c r="B21" s="287">
        <v>19732.355</v>
      </c>
      <c r="D21" s="197" t="s">
        <v>129</v>
      </c>
      <c r="E21" s="287">
        <v>10400.187</v>
      </c>
    </row>
    <row r="22" spans="1:5" ht="18.75">
      <c r="A22" s="197" t="s">
        <v>204</v>
      </c>
      <c r="B22" s="287">
        <v>120406.999</v>
      </c>
      <c r="D22" s="197" t="s">
        <v>204</v>
      </c>
      <c r="E22" s="287">
        <v>0</v>
      </c>
    </row>
    <row r="23" spans="1:5" ht="18.75">
      <c r="A23" s="197" t="s">
        <v>132</v>
      </c>
      <c r="B23" s="298">
        <v>0</v>
      </c>
      <c r="D23" s="197" t="s">
        <v>132</v>
      </c>
      <c r="E23" s="298">
        <v>0</v>
      </c>
    </row>
    <row r="24" spans="1:5" ht="18.75">
      <c r="A24" s="197" t="s">
        <v>131</v>
      </c>
      <c r="B24" s="298">
        <v>0</v>
      </c>
      <c r="D24" s="197" t="s">
        <v>131</v>
      </c>
      <c r="E24" s="298">
        <v>0</v>
      </c>
    </row>
    <row r="25" spans="1:5" ht="18.75">
      <c r="A25" s="197" t="s">
        <v>164</v>
      </c>
      <c r="B25" s="287">
        <v>3.46</v>
      </c>
      <c r="D25" s="197" t="s">
        <v>164</v>
      </c>
      <c r="E25" s="287">
        <v>0</v>
      </c>
    </row>
    <row r="26" spans="1:5" ht="18.75">
      <c r="A26" s="197" t="s">
        <v>165</v>
      </c>
      <c r="B26" s="287">
        <v>360.111</v>
      </c>
      <c r="D26" s="197" t="s">
        <v>165</v>
      </c>
      <c r="E26" s="287">
        <v>387.62</v>
      </c>
    </row>
    <row r="27" spans="1:5" ht="18.75">
      <c r="A27" s="197" t="s">
        <v>171</v>
      </c>
      <c r="B27" s="298">
        <v>0</v>
      </c>
      <c r="D27" s="197" t="s">
        <v>171</v>
      </c>
      <c r="E27" s="298">
        <v>0</v>
      </c>
    </row>
    <row r="28" spans="1:5" ht="18.75">
      <c r="A28" s="197" t="s">
        <v>179</v>
      </c>
      <c r="B28" s="298">
        <v>0</v>
      </c>
      <c r="D28" s="197" t="s">
        <v>179</v>
      </c>
      <c r="E28" s="298">
        <v>0</v>
      </c>
    </row>
    <row r="29" spans="1:5" ht="18.75">
      <c r="A29" s="196" t="s">
        <v>123</v>
      </c>
      <c r="B29" s="199">
        <f>SUM(B11:B28)</f>
        <v>655731.8519999998</v>
      </c>
      <c r="D29" s="196" t="s">
        <v>123</v>
      </c>
      <c r="E29" s="199">
        <f>SUM(E11:E28)</f>
        <v>511038.09099999996</v>
      </c>
    </row>
    <row r="30" spans="1:5" ht="18.75">
      <c r="A30" s="411" t="s">
        <v>130</v>
      </c>
      <c r="B30" s="411"/>
      <c r="D30" s="411" t="s">
        <v>130</v>
      </c>
      <c r="E30" s="411"/>
    </row>
    <row r="31" spans="1:5" ht="18.75">
      <c r="A31" s="198" t="s">
        <v>129</v>
      </c>
      <c r="B31" s="287">
        <v>31714.141</v>
      </c>
      <c r="D31" s="198" t="s">
        <v>129</v>
      </c>
      <c r="E31" s="287">
        <v>59288.247</v>
      </c>
    </row>
    <row r="32" spans="1:5" ht="18.75">
      <c r="A32" s="198" t="s">
        <v>128</v>
      </c>
      <c r="B32" s="287">
        <v>929.66</v>
      </c>
      <c r="D32" s="198" t="s">
        <v>128</v>
      </c>
      <c r="E32" s="287">
        <v>11934.82</v>
      </c>
    </row>
    <row r="33" spans="1:5" ht="18.75">
      <c r="A33" s="198" t="s">
        <v>127</v>
      </c>
      <c r="B33" s="287">
        <v>74.02</v>
      </c>
      <c r="D33" s="198" t="s">
        <v>127</v>
      </c>
      <c r="E33" s="287">
        <v>3759.982</v>
      </c>
    </row>
    <row r="34" spans="1:5" ht="18.75">
      <c r="A34" s="198" t="s">
        <v>126</v>
      </c>
      <c r="B34" s="287">
        <v>0</v>
      </c>
      <c r="D34" s="198" t="s">
        <v>126</v>
      </c>
      <c r="E34" s="287">
        <v>0</v>
      </c>
    </row>
    <row r="35" spans="1:8" ht="18.75">
      <c r="A35" s="198" t="s">
        <v>125</v>
      </c>
      <c r="B35" s="287">
        <v>0</v>
      </c>
      <c r="D35" s="198" t="s">
        <v>125</v>
      </c>
      <c r="E35" s="287">
        <v>0</v>
      </c>
      <c r="H35" s="183"/>
    </row>
    <row r="36" spans="1:7" ht="18.75">
      <c r="A36" s="198" t="s">
        <v>175</v>
      </c>
      <c r="B36" s="287">
        <v>0</v>
      </c>
      <c r="D36" s="198" t="s">
        <v>175</v>
      </c>
      <c r="E36" s="287">
        <v>0</v>
      </c>
      <c r="G36" s="183"/>
    </row>
    <row r="37" spans="1:7" ht="18.75">
      <c r="A37" s="198" t="s">
        <v>180</v>
      </c>
      <c r="B37" s="287">
        <v>0</v>
      </c>
      <c r="D37" s="198" t="s">
        <v>180</v>
      </c>
      <c r="E37" s="287">
        <v>0</v>
      </c>
      <c r="G37" s="183"/>
    </row>
    <row r="38" spans="1:5" ht="18.75">
      <c r="A38" s="198" t="s">
        <v>176</v>
      </c>
      <c r="B38" s="287">
        <v>6650.484</v>
      </c>
      <c r="D38" s="198" t="s">
        <v>176</v>
      </c>
      <c r="E38" s="287">
        <v>194.15</v>
      </c>
    </row>
    <row r="39" spans="1:5" ht="18.75">
      <c r="A39" s="198" t="s">
        <v>174</v>
      </c>
      <c r="B39" s="287">
        <v>6733.758</v>
      </c>
      <c r="D39" s="198" t="s">
        <v>174</v>
      </c>
      <c r="E39" s="287">
        <v>4069.404</v>
      </c>
    </row>
    <row r="40" spans="1:5" ht="18.75">
      <c r="A40" s="197" t="s">
        <v>124</v>
      </c>
      <c r="B40" s="287">
        <v>0</v>
      </c>
      <c r="D40" s="197" t="s">
        <v>124</v>
      </c>
      <c r="E40" s="287">
        <v>16454.6</v>
      </c>
    </row>
    <row r="41" spans="1:5" ht="18.75">
      <c r="A41" s="197" t="s">
        <v>205</v>
      </c>
      <c r="B41" s="287">
        <v>163.43</v>
      </c>
      <c r="D41" s="197" t="s">
        <v>205</v>
      </c>
      <c r="E41" s="287">
        <v>11.21</v>
      </c>
    </row>
    <row r="42" spans="1:5" ht="18.75">
      <c r="A42" s="197" t="s">
        <v>166</v>
      </c>
      <c r="B42" s="287">
        <v>329.29</v>
      </c>
      <c r="D42" s="197" t="s">
        <v>166</v>
      </c>
      <c r="E42" s="287">
        <v>25.99</v>
      </c>
    </row>
    <row r="43" spans="1:5" ht="18.75">
      <c r="A43" s="197" t="s">
        <v>171</v>
      </c>
      <c r="B43" s="287">
        <v>17782.09</v>
      </c>
      <c r="D43" s="197" t="s">
        <v>171</v>
      </c>
      <c r="E43" s="287">
        <v>0</v>
      </c>
    </row>
    <row r="44" spans="1:6" ht="18.75">
      <c r="A44" s="196" t="s">
        <v>123</v>
      </c>
      <c r="B44" s="288">
        <f>SUM(B31:B43)</f>
        <v>64376.87300000001</v>
      </c>
      <c r="D44" s="196" t="s">
        <v>123</v>
      </c>
      <c r="E44" s="288">
        <f>SUM(E31:E43)</f>
        <v>95738.40300000002</v>
      </c>
      <c r="F44" s="195"/>
    </row>
    <row r="45" spans="1:5" ht="21">
      <c r="A45" s="194" t="s">
        <v>122</v>
      </c>
      <c r="B45" s="193">
        <f>B44+B29</f>
        <v>720108.7249999999</v>
      </c>
      <c r="D45" s="194" t="s">
        <v>122</v>
      </c>
      <c r="E45" s="193">
        <f>E44+E29</f>
        <v>606776.494</v>
      </c>
    </row>
    <row r="46" spans="1:5" ht="21">
      <c r="A46" s="192" t="s">
        <v>121</v>
      </c>
      <c r="B46" s="191">
        <f>B45/12</f>
        <v>60009.06041666665</v>
      </c>
      <c r="D46" s="192" t="s">
        <v>121</v>
      </c>
      <c r="E46" s="191">
        <f>E45/12</f>
        <v>50564.70783333333</v>
      </c>
    </row>
    <row r="47" ht="12.75">
      <c r="E47" s="186"/>
    </row>
    <row r="48" spans="1:7" ht="15">
      <c r="A48" s="412" t="s">
        <v>120</v>
      </c>
      <c r="B48" s="412"/>
      <c r="C48" s="412"/>
      <c r="D48" s="412"/>
      <c r="E48" s="412"/>
      <c r="F48" s="412"/>
      <c r="G48" s="190"/>
    </row>
    <row r="49" ht="13.5" thickBot="1"/>
    <row r="50" spans="1:7" ht="16.5" thickBot="1">
      <c r="A50" s="406" t="s">
        <v>432</v>
      </c>
      <c r="B50" s="407"/>
      <c r="C50" s="189"/>
      <c r="D50" s="406" t="s">
        <v>433</v>
      </c>
      <c r="E50" s="407"/>
      <c r="F50" s="188" t="s">
        <v>119</v>
      </c>
      <c r="G50" s="202"/>
    </row>
    <row r="51" spans="1:10" ht="18.75">
      <c r="A51" s="408">
        <v>63040.069</v>
      </c>
      <c r="B51" s="409"/>
      <c r="C51" s="187"/>
      <c r="D51" s="408">
        <v>36436.417</v>
      </c>
      <c r="E51" s="409"/>
      <c r="F51" s="244">
        <v>-0.422</v>
      </c>
      <c r="G51" s="368"/>
      <c r="H51" s="321"/>
      <c r="I51" s="319" t="s">
        <v>12</v>
      </c>
      <c r="J51" s="162" t="s">
        <v>12</v>
      </c>
    </row>
    <row r="52" spans="7:9" ht="18.75" thickBot="1">
      <c r="G52" s="106"/>
      <c r="I52" s="319" t="s">
        <v>12</v>
      </c>
    </row>
    <row r="53" spans="1:8" ht="16.5" thickBot="1">
      <c r="A53" s="406" t="s">
        <v>426</v>
      </c>
      <c r="B53" s="407"/>
      <c r="C53" s="189"/>
      <c r="D53" s="406" t="s">
        <v>433</v>
      </c>
      <c r="E53" s="407"/>
      <c r="F53" s="188" t="s">
        <v>119</v>
      </c>
      <c r="H53" t="s">
        <v>12</v>
      </c>
    </row>
    <row r="54" spans="1:8" ht="18.75">
      <c r="A54" s="408">
        <v>52598.735</v>
      </c>
      <c r="B54" s="409"/>
      <c r="C54" s="187"/>
      <c r="D54" s="408">
        <f>D51</f>
        <v>36436.417</v>
      </c>
      <c r="E54" s="409"/>
      <c r="F54" s="244">
        <v>-0.3073</v>
      </c>
      <c r="G54" s="106"/>
      <c r="H54" s="319"/>
    </row>
    <row r="55" spans="6:7" ht="13.5" thickBot="1">
      <c r="F55" s="186"/>
      <c r="G55" s="369"/>
    </row>
    <row r="56" spans="1:5" ht="15.75">
      <c r="A56" s="406" t="s">
        <v>434</v>
      </c>
      <c r="B56" s="407"/>
      <c r="E56" s="267"/>
    </row>
    <row r="57" spans="1:5" ht="18.75">
      <c r="A57" s="408">
        <v>606776.494</v>
      </c>
      <c r="B57" s="409"/>
      <c r="E57" s="318"/>
    </row>
    <row r="59" spans="1:2" ht="15">
      <c r="A59" s="185"/>
      <c r="B59" s="184"/>
    </row>
  </sheetData>
  <sheetProtection/>
  <mergeCells count="19">
    <mergeCell ref="A57:B57"/>
    <mergeCell ref="A53:B53"/>
    <mergeCell ref="A54:B54"/>
    <mergeCell ref="A9:B9"/>
    <mergeCell ref="D10:E10"/>
    <mergeCell ref="D30:E30"/>
    <mergeCell ref="D53:E53"/>
    <mergeCell ref="D54:E54"/>
    <mergeCell ref="A56:B56"/>
    <mergeCell ref="D9:E9"/>
    <mergeCell ref="A6:E6"/>
    <mergeCell ref="A50:B50"/>
    <mergeCell ref="D50:E50"/>
    <mergeCell ref="A51:B51"/>
    <mergeCell ref="D51:E51"/>
    <mergeCell ref="A7:E7"/>
    <mergeCell ref="A10:B10"/>
    <mergeCell ref="A30:B30"/>
    <mergeCell ref="A48:F48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8"/>
  <sheetViews>
    <sheetView showGridLines="0" zoomScale="75" zoomScaleNormal="75" zoomScalePageLayoutView="0" workbookViewId="0" topLeftCell="C1">
      <selection activeCell="O1" sqref="O1"/>
    </sheetView>
  </sheetViews>
  <sheetFormatPr defaultColWidth="9.140625" defaultRowHeight="12.75"/>
  <cols>
    <col min="1" max="1" width="36.140625" style="78" customWidth="1"/>
    <col min="2" max="2" width="17.28125" style="78" customWidth="1"/>
    <col min="3" max="13" width="19.7109375" style="78" customWidth="1"/>
    <col min="14" max="14" width="21.28125" style="78" customWidth="1"/>
    <col min="15" max="15" width="9.140625" style="78" customWidth="1"/>
    <col min="16" max="16" width="7.57421875" style="78" customWidth="1"/>
    <col min="17" max="16384" width="9.140625" style="78" customWidth="1"/>
  </cols>
  <sheetData>
    <row r="2" spans="1:13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2.7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2.75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2.75">
      <c r="A5"/>
      <c r="B5"/>
      <c r="C5"/>
      <c r="D5"/>
      <c r="E5"/>
      <c r="F5"/>
      <c r="G5"/>
      <c r="H5"/>
      <c r="I5"/>
      <c r="J5"/>
      <c r="K5"/>
      <c r="L5"/>
      <c r="M5"/>
    </row>
    <row r="6" spans="1:15" ht="12.75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</row>
    <row r="7" spans="1:15" ht="12.75">
      <c r="A7" s="416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</row>
    <row r="9" spans="1:14" ht="18">
      <c r="A9" s="415" t="s">
        <v>217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</row>
    <row r="11" spans="1:14" s="88" customFormat="1" ht="12.75">
      <c r="A11" s="89" t="s">
        <v>69</v>
      </c>
      <c r="B11" s="89" t="s">
        <v>16</v>
      </c>
      <c r="C11" s="89" t="s">
        <v>17</v>
      </c>
      <c r="D11" s="89" t="s">
        <v>18</v>
      </c>
      <c r="E11" s="89" t="s">
        <v>68</v>
      </c>
      <c r="F11" s="89" t="s">
        <v>67</v>
      </c>
      <c r="G11" s="89" t="s">
        <v>66</v>
      </c>
      <c r="H11" s="89" t="s">
        <v>39</v>
      </c>
      <c r="I11" s="89" t="s">
        <v>40</v>
      </c>
      <c r="J11" s="89" t="s">
        <v>41</v>
      </c>
      <c r="K11" s="89" t="s">
        <v>42</v>
      </c>
      <c r="L11" s="89" t="s">
        <v>43</v>
      </c>
      <c r="M11" s="89" t="s">
        <v>44</v>
      </c>
      <c r="N11" s="89" t="s">
        <v>65</v>
      </c>
    </row>
    <row r="12" spans="1:14" ht="12.75">
      <c r="A12" s="84" t="s">
        <v>64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1"/>
    </row>
    <row r="13" spans="1:14" ht="18">
      <c r="A13" s="86" t="s">
        <v>63</v>
      </c>
      <c r="B13" s="81">
        <v>146617.93</v>
      </c>
      <c r="C13" s="81">
        <v>741816.45</v>
      </c>
      <c r="D13" s="81">
        <v>351952.4</v>
      </c>
      <c r="E13" s="81">
        <v>428592.62</v>
      </c>
      <c r="F13" s="81">
        <v>520395.39</v>
      </c>
      <c r="G13" s="81">
        <v>595413.62</v>
      </c>
      <c r="H13" s="81">
        <v>502036.91</v>
      </c>
      <c r="I13" s="81">
        <v>572570.32</v>
      </c>
      <c r="J13" s="81">
        <v>551439.58</v>
      </c>
      <c r="K13" s="81">
        <v>545050.79</v>
      </c>
      <c r="L13" s="81">
        <v>577237.88</v>
      </c>
      <c r="M13" s="81">
        <v>135378.01</v>
      </c>
      <c r="N13" s="342">
        <f>SUM(B13:M13)</f>
        <v>5668501.899999999</v>
      </c>
    </row>
    <row r="14" spans="1:14" ht="18">
      <c r="A14" s="84" t="s">
        <v>62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342"/>
    </row>
    <row r="15" spans="1:14" ht="18">
      <c r="A15" s="82" t="s">
        <v>61</v>
      </c>
      <c r="B15" s="81">
        <v>82903.43</v>
      </c>
      <c r="C15" s="81">
        <v>73270</v>
      </c>
      <c r="D15" s="81">
        <v>172799.46</v>
      </c>
      <c r="E15" s="81">
        <v>97767.02</v>
      </c>
      <c r="F15" s="81">
        <v>124494.57</v>
      </c>
      <c r="G15" s="81">
        <v>96653.05</v>
      </c>
      <c r="H15" s="81">
        <v>99072.2</v>
      </c>
      <c r="I15" s="81">
        <v>187428.85</v>
      </c>
      <c r="J15" s="81">
        <v>177653.47</v>
      </c>
      <c r="K15" s="81">
        <v>101681.6</v>
      </c>
      <c r="L15" s="81">
        <v>161141.91</v>
      </c>
      <c r="M15" s="81">
        <v>144699.9</v>
      </c>
      <c r="N15" s="342">
        <f>SUM(B15:M15)</f>
        <v>1519565.46</v>
      </c>
    </row>
    <row r="16" spans="1:14" ht="18">
      <c r="A16" s="84" t="s">
        <v>60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342"/>
    </row>
    <row r="17" spans="1:14" ht="18">
      <c r="A17" s="86" t="s">
        <v>59</v>
      </c>
      <c r="B17" s="81">
        <v>146333.91</v>
      </c>
      <c r="C17" s="81">
        <v>141898.33</v>
      </c>
      <c r="D17" s="81">
        <v>394588.41</v>
      </c>
      <c r="E17" s="81">
        <v>208378.04</v>
      </c>
      <c r="F17" s="81">
        <v>359966.03</v>
      </c>
      <c r="G17" s="81">
        <v>220681.97</v>
      </c>
      <c r="H17" s="81">
        <v>244212.1</v>
      </c>
      <c r="I17" s="81">
        <v>477735.39</v>
      </c>
      <c r="J17" s="81">
        <v>389825.23</v>
      </c>
      <c r="K17" s="81">
        <v>201535.39</v>
      </c>
      <c r="L17" s="81">
        <v>325691.45</v>
      </c>
      <c r="M17" s="81">
        <v>278391.47</v>
      </c>
      <c r="N17" s="342">
        <f>SUM(B17:M17)</f>
        <v>3389237.7200000007</v>
      </c>
    </row>
    <row r="18" spans="1:14" ht="18">
      <c r="A18" s="84" t="s">
        <v>58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342"/>
    </row>
    <row r="19" spans="1:14" ht="18">
      <c r="A19" s="82" t="s">
        <v>185</v>
      </c>
      <c r="B19" s="81">
        <v>81894.53</v>
      </c>
      <c r="C19" s="81">
        <v>169978.65</v>
      </c>
      <c r="D19" s="81">
        <v>446360.9</v>
      </c>
      <c r="E19" s="81">
        <v>346477.65</v>
      </c>
      <c r="F19" s="81">
        <v>533768.21</v>
      </c>
      <c r="G19" s="81">
        <v>535667.33</v>
      </c>
      <c r="H19" s="81">
        <v>430796.55</v>
      </c>
      <c r="I19" s="81">
        <f>739122.86-38290.56</f>
        <v>700832.3</v>
      </c>
      <c r="J19" s="81">
        <f>509885.56-431.56</f>
        <v>509454</v>
      </c>
      <c r="K19" s="81">
        <v>463071.35</v>
      </c>
      <c r="L19" s="81">
        <v>331068.33</v>
      </c>
      <c r="M19" s="81">
        <v>556195.26</v>
      </c>
      <c r="N19" s="342">
        <f>SUM(B19:M19)</f>
        <v>5105565.06</v>
      </c>
    </row>
    <row r="20" spans="1:14" ht="18">
      <c r="A20" s="82" t="s">
        <v>186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342">
        <f>SUM(B20:M20)</f>
        <v>0</v>
      </c>
    </row>
    <row r="21" spans="1:14" ht="18">
      <c r="A21" s="84" t="s">
        <v>57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342"/>
    </row>
    <row r="22" spans="1:14" ht="18">
      <c r="A22" s="82" t="s">
        <v>54</v>
      </c>
      <c r="B22" s="81">
        <v>208.81</v>
      </c>
      <c r="C22" s="81">
        <v>98.91</v>
      </c>
      <c r="D22" s="81">
        <v>197.82</v>
      </c>
      <c r="E22" s="81">
        <v>241.78</v>
      </c>
      <c r="F22" s="81">
        <v>164.85</v>
      </c>
      <c r="G22" s="81">
        <v>307.72</v>
      </c>
      <c r="H22" s="81">
        <v>219.8</v>
      </c>
      <c r="I22" s="81">
        <v>197.82</v>
      </c>
      <c r="J22" s="81">
        <v>252.77</v>
      </c>
      <c r="K22" s="81">
        <v>1164.94</v>
      </c>
      <c r="L22" s="81">
        <v>274.75</v>
      </c>
      <c r="M22" s="81">
        <v>175.84</v>
      </c>
      <c r="N22" s="342">
        <f>SUM(B22:M22)</f>
        <v>3505.8100000000004</v>
      </c>
    </row>
    <row r="23" spans="1:14" ht="18">
      <c r="A23" s="82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342"/>
    </row>
    <row r="24" spans="1:14" ht="18">
      <c r="A24" s="277" t="s">
        <v>188</v>
      </c>
      <c r="B24" s="339">
        <f>SUM(B13:B23)</f>
        <v>457958.61000000004</v>
      </c>
      <c r="C24" s="339">
        <f aca="true" t="shared" si="0" ref="C24:M24">SUM(C13:C23)</f>
        <v>1127062.3399999999</v>
      </c>
      <c r="D24" s="339">
        <f t="shared" si="0"/>
        <v>1365898.99</v>
      </c>
      <c r="E24" s="339">
        <f t="shared" si="0"/>
        <v>1081457.11</v>
      </c>
      <c r="F24" s="339">
        <f t="shared" si="0"/>
        <v>1538789.05</v>
      </c>
      <c r="G24" s="339">
        <f t="shared" si="0"/>
        <v>1448723.69</v>
      </c>
      <c r="H24" s="339">
        <f t="shared" si="0"/>
        <v>1276337.56</v>
      </c>
      <c r="I24" s="339">
        <f t="shared" si="0"/>
        <v>1938764.6800000002</v>
      </c>
      <c r="J24" s="339">
        <f t="shared" si="0"/>
        <v>1628625.0499999998</v>
      </c>
      <c r="K24" s="339">
        <f t="shared" si="0"/>
        <v>1312504.0699999998</v>
      </c>
      <c r="L24" s="339">
        <f t="shared" si="0"/>
        <v>1395414.32</v>
      </c>
      <c r="M24" s="339">
        <f t="shared" si="0"/>
        <v>1114840.4800000002</v>
      </c>
      <c r="N24" s="339">
        <f>SUM(N13:N23)</f>
        <v>15686375.950000001</v>
      </c>
    </row>
    <row r="25" spans="1:14" ht="18">
      <c r="A25" s="84" t="s">
        <v>49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342"/>
    </row>
    <row r="26" spans="1:14" ht="18">
      <c r="A26" s="82" t="s">
        <v>48</v>
      </c>
      <c r="B26" s="81">
        <v>402.58</v>
      </c>
      <c r="C26" s="81">
        <v>3160.04</v>
      </c>
      <c r="D26" s="81">
        <v>607.18</v>
      </c>
      <c r="E26" s="81">
        <v>3729.27</v>
      </c>
      <c r="F26" s="81">
        <v>1107.48</v>
      </c>
      <c r="G26" s="81">
        <v>8049.53</v>
      </c>
      <c r="H26" s="81">
        <v>4027.65</v>
      </c>
      <c r="I26" s="81">
        <v>1401.23</v>
      </c>
      <c r="J26" s="81">
        <v>1874.46</v>
      </c>
      <c r="K26" s="81">
        <v>0</v>
      </c>
      <c r="L26" s="81">
        <v>11617.07</v>
      </c>
      <c r="M26" s="81">
        <f>6978.27+83.68</f>
        <v>7061.950000000001</v>
      </c>
      <c r="N26" s="342">
        <f>SUM(B26:M26)</f>
        <v>43038.44</v>
      </c>
    </row>
    <row r="27" spans="1:14" ht="18">
      <c r="A27" s="84" t="s">
        <v>53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342"/>
    </row>
    <row r="28" spans="1:14" ht="18">
      <c r="A28" s="82" t="s">
        <v>56</v>
      </c>
      <c r="B28" s="81">
        <v>4712.71</v>
      </c>
      <c r="C28" s="81">
        <v>9622.04</v>
      </c>
      <c r="D28" s="81">
        <v>3515.94</v>
      </c>
      <c r="E28" s="81">
        <v>9064.11</v>
      </c>
      <c r="F28" s="81">
        <v>13006.68</v>
      </c>
      <c r="G28" s="81">
        <v>17166.06</v>
      </c>
      <c r="H28" s="81">
        <v>10662.72</v>
      </c>
      <c r="I28" s="81">
        <v>16091.7</v>
      </c>
      <c r="J28" s="81">
        <v>12344.18</v>
      </c>
      <c r="K28" s="81">
        <v>2734.62</v>
      </c>
      <c r="L28" s="81">
        <v>17322.74</v>
      </c>
      <c r="M28" s="81">
        <v>9628.62</v>
      </c>
      <c r="N28" s="342">
        <f aca="true" t="shared" si="1" ref="N28:N33">SUM(B28:M28)</f>
        <v>125872.11999999998</v>
      </c>
    </row>
    <row r="29" spans="1:14" ht="18">
      <c r="A29" s="82" t="s">
        <v>55</v>
      </c>
      <c r="B29" s="81">
        <v>11499.69</v>
      </c>
      <c r="C29" s="81">
        <v>7124.92</v>
      </c>
      <c r="D29" s="81">
        <v>2584</v>
      </c>
      <c r="E29" s="81">
        <v>9504.77</v>
      </c>
      <c r="F29" s="81">
        <v>1862</v>
      </c>
      <c r="G29" s="81">
        <v>3933</v>
      </c>
      <c r="H29" s="81">
        <v>6688</v>
      </c>
      <c r="I29" s="81">
        <v>6187.25</v>
      </c>
      <c r="J29" s="81">
        <v>10904.68</v>
      </c>
      <c r="K29" s="81">
        <v>7068</v>
      </c>
      <c r="L29" s="81">
        <v>2871.68</v>
      </c>
      <c r="M29" s="81">
        <v>5979.3</v>
      </c>
      <c r="N29" s="342">
        <f t="shared" si="1"/>
        <v>76207.29</v>
      </c>
    </row>
    <row r="30" spans="1:14" ht="18">
      <c r="A30" s="351" t="s">
        <v>286</v>
      </c>
      <c r="B30" s="81">
        <v>0</v>
      </c>
      <c r="C30" s="81">
        <v>0</v>
      </c>
      <c r="D30" s="81">
        <v>0</v>
      </c>
      <c r="E30" s="81">
        <v>590.07</v>
      </c>
      <c r="F30" s="81">
        <v>0</v>
      </c>
      <c r="G30" s="81">
        <v>2267.52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342">
        <f t="shared" si="1"/>
        <v>2857.59</v>
      </c>
    </row>
    <row r="31" spans="1:14" ht="18">
      <c r="A31" s="85" t="s">
        <v>52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342">
        <f t="shared" si="1"/>
        <v>0</v>
      </c>
    </row>
    <row r="32" spans="1:14" ht="18">
      <c r="A32" s="82" t="s">
        <v>51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342">
        <f t="shared" si="1"/>
        <v>0</v>
      </c>
    </row>
    <row r="33" spans="1:14" ht="18">
      <c r="A33" s="82" t="s">
        <v>50</v>
      </c>
      <c r="B33" s="81">
        <f>1194.08+70</f>
        <v>1264.08</v>
      </c>
      <c r="C33" s="81">
        <f>588+232.6+280</f>
        <v>1100.6</v>
      </c>
      <c r="D33" s="81">
        <f>9.3+35+6.9+3.8</f>
        <v>54.99999999999999</v>
      </c>
      <c r="E33" s="81">
        <f>232.6+70</f>
        <v>302.6</v>
      </c>
      <c r="F33" s="81">
        <v>0</v>
      </c>
      <c r="G33" s="81">
        <v>245</v>
      </c>
      <c r="H33" s="81">
        <f>588+385</f>
        <v>973</v>
      </c>
      <c r="I33" s="81">
        <f>490+465.2</f>
        <v>955.2</v>
      </c>
      <c r="J33" s="81">
        <f>116.3+35</f>
        <v>151.3</v>
      </c>
      <c r="K33" s="81">
        <v>0</v>
      </c>
      <c r="L33" s="81">
        <f>116.3+175</f>
        <v>291.3</v>
      </c>
      <c r="M33" s="81">
        <v>175</v>
      </c>
      <c r="N33" s="342">
        <f t="shared" si="1"/>
        <v>5513.08</v>
      </c>
    </row>
    <row r="34" spans="1:16" ht="18">
      <c r="A34" s="278" t="s">
        <v>187</v>
      </c>
      <c r="B34" s="340">
        <f aca="true" t="shared" si="2" ref="B34:H34">SUM(B26:B33)</f>
        <v>17879.059999999998</v>
      </c>
      <c r="C34" s="340">
        <f t="shared" si="2"/>
        <v>21007.6</v>
      </c>
      <c r="D34" s="340">
        <f t="shared" si="2"/>
        <v>6762.12</v>
      </c>
      <c r="E34" s="340">
        <f t="shared" si="2"/>
        <v>23190.82</v>
      </c>
      <c r="F34" s="340">
        <f t="shared" si="2"/>
        <v>15976.16</v>
      </c>
      <c r="G34" s="340">
        <f t="shared" si="2"/>
        <v>31661.11</v>
      </c>
      <c r="H34" s="340">
        <f t="shared" si="2"/>
        <v>22351.37</v>
      </c>
      <c r="I34" s="340">
        <f aca="true" t="shared" si="3" ref="I34:N34">SUM(I26:I33)</f>
        <v>24635.38</v>
      </c>
      <c r="J34" s="340">
        <f t="shared" si="3"/>
        <v>25274.62</v>
      </c>
      <c r="K34" s="340">
        <f t="shared" si="3"/>
        <v>9802.619999999999</v>
      </c>
      <c r="L34" s="340">
        <f t="shared" si="3"/>
        <v>32102.79</v>
      </c>
      <c r="M34" s="340">
        <f t="shared" si="3"/>
        <v>22844.87</v>
      </c>
      <c r="N34" s="340">
        <f t="shared" si="3"/>
        <v>253488.51999999996</v>
      </c>
      <c r="P34" s="83"/>
    </row>
    <row r="35" spans="14:16" ht="18">
      <c r="N35" s="343"/>
      <c r="P35" s="83"/>
    </row>
    <row r="36" spans="14:15" ht="18">
      <c r="N36" s="343"/>
      <c r="O36" s="80"/>
    </row>
    <row r="37" spans="1:14" ht="18">
      <c r="A37" s="279" t="s">
        <v>189</v>
      </c>
      <c r="B37" s="341">
        <f aca="true" t="shared" si="4" ref="B37:N37">B24+B34</f>
        <v>475837.67000000004</v>
      </c>
      <c r="C37" s="341">
        <f t="shared" si="4"/>
        <v>1148069.94</v>
      </c>
      <c r="D37" s="341">
        <f t="shared" si="4"/>
        <v>1372661.11</v>
      </c>
      <c r="E37" s="341">
        <f t="shared" si="4"/>
        <v>1104647.9300000002</v>
      </c>
      <c r="F37" s="341">
        <f t="shared" si="4"/>
        <v>1554765.21</v>
      </c>
      <c r="G37" s="341">
        <f t="shared" si="4"/>
        <v>1480384.8</v>
      </c>
      <c r="H37" s="341">
        <f t="shared" si="4"/>
        <v>1298688.9300000002</v>
      </c>
      <c r="I37" s="341">
        <f>I24+I34</f>
        <v>1963400.06</v>
      </c>
      <c r="J37" s="341">
        <f t="shared" si="4"/>
        <v>1653899.67</v>
      </c>
      <c r="K37" s="341">
        <f>K24+K34</f>
        <v>1322306.69</v>
      </c>
      <c r="L37" s="341">
        <f>L24+L34</f>
        <v>1427517.11</v>
      </c>
      <c r="M37" s="341">
        <f t="shared" si="4"/>
        <v>1137685.3500000003</v>
      </c>
      <c r="N37" s="341">
        <f t="shared" si="4"/>
        <v>15939864.47</v>
      </c>
    </row>
    <row r="38" spans="1:13" ht="18">
      <c r="A38" s="326">
        <f>SUM(B37:M37)</f>
        <v>15939864.469999999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4:7" ht="12.75">
      <c r="D39" s="241"/>
      <c r="G39" s="241"/>
    </row>
    <row r="40" ht="12.75">
      <c r="E40" s="302"/>
    </row>
    <row r="42" ht="12.75">
      <c r="L42" s="302"/>
    </row>
    <row r="48" ht="12.75">
      <c r="C48" s="241">
        <f>A38-N37</f>
        <v>0</v>
      </c>
    </row>
  </sheetData>
  <sheetProtection/>
  <mergeCells count="3">
    <mergeCell ref="A9:N9"/>
    <mergeCell ref="A6:O6"/>
    <mergeCell ref="A7:O7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K36"/>
  <sheetViews>
    <sheetView showGridLines="0" zoomScale="75" zoomScaleNormal="75" zoomScalePageLayoutView="0" workbookViewId="0" topLeftCell="A9">
      <selection activeCell="E20" sqref="E20"/>
    </sheetView>
  </sheetViews>
  <sheetFormatPr defaultColWidth="9.140625" defaultRowHeight="12.75"/>
  <cols>
    <col min="1" max="1" width="31.57421875" style="0" bestFit="1" customWidth="1"/>
    <col min="2" max="2" width="19.7109375" style="0" bestFit="1" customWidth="1"/>
    <col min="3" max="3" width="5.57421875" style="0" bestFit="1" customWidth="1"/>
    <col min="4" max="4" width="32.7109375" style="0" customWidth="1"/>
    <col min="5" max="5" width="32.140625" style="0" bestFit="1" customWidth="1"/>
    <col min="6" max="6" width="18.00390625" style="0" bestFit="1" customWidth="1"/>
    <col min="7" max="7" width="16.8515625" style="0" bestFit="1" customWidth="1"/>
  </cols>
  <sheetData>
    <row r="5" ht="13.5" thickBot="1"/>
    <row r="6" spans="1:5" ht="15.75" thickBot="1">
      <c r="A6" s="417" t="s">
        <v>142</v>
      </c>
      <c r="B6" s="418"/>
      <c r="C6" s="418"/>
      <c r="D6" s="418"/>
      <c r="E6" s="419"/>
    </row>
    <row r="7" spans="1:5" ht="15.75" thickBot="1">
      <c r="A7" s="420" t="s">
        <v>149</v>
      </c>
      <c r="B7" s="421"/>
      <c r="C7" s="421"/>
      <c r="D7" s="421"/>
      <c r="E7" s="422"/>
    </row>
    <row r="8" spans="4:5" ht="16.5" thickBot="1">
      <c r="D8" s="433"/>
      <c r="E8" s="433"/>
    </row>
    <row r="9" spans="1:5" ht="21.75" thickBot="1">
      <c r="A9" s="423" t="s">
        <v>191</v>
      </c>
      <c r="B9" s="424"/>
      <c r="C9" s="189"/>
      <c r="D9" s="423" t="s">
        <v>231</v>
      </c>
      <c r="E9" s="424"/>
    </row>
    <row r="10" spans="1:5" ht="18.75">
      <c r="A10" s="425" t="s">
        <v>167</v>
      </c>
      <c r="B10" s="425"/>
      <c r="C10" s="189"/>
      <c r="D10" s="425" t="s">
        <v>167</v>
      </c>
      <c r="E10" s="425"/>
    </row>
    <row r="11" spans="1:7" ht="18.75">
      <c r="A11" s="198" t="s">
        <v>148</v>
      </c>
      <c r="B11" s="283">
        <v>6158818.02</v>
      </c>
      <c r="D11" s="198" t="s">
        <v>148</v>
      </c>
      <c r="E11" s="283">
        <v>5668501.9</v>
      </c>
      <c r="G11" s="255"/>
    </row>
    <row r="12" spans="1:5" ht="18.75">
      <c r="A12" s="198" t="s">
        <v>147</v>
      </c>
      <c r="B12" s="214">
        <v>1659129.17</v>
      </c>
      <c r="D12" s="198" t="s">
        <v>147</v>
      </c>
      <c r="E12" s="214">
        <v>1519565.46</v>
      </c>
    </row>
    <row r="13" spans="1:5" ht="18.75">
      <c r="A13" s="198" t="s">
        <v>146</v>
      </c>
      <c r="B13" s="214">
        <v>3512012.93</v>
      </c>
      <c r="D13" s="198" t="s">
        <v>146</v>
      </c>
      <c r="E13" s="214">
        <v>3389237.72</v>
      </c>
    </row>
    <row r="14" spans="1:5" ht="18.75">
      <c r="A14" s="198" t="s">
        <v>145</v>
      </c>
      <c r="B14" s="215">
        <f>7142386.53+4139000</f>
        <v>11281386.530000001</v>
      </c>
      <c r="D14" s="198" t="s">
        <v>145</v>
      </c>
      <c r="E14" s="215">
        <v>5105565.06</v>
      </c>
    </row>
    <row r="15" spans="1:5" ht="18.75">
      <c r="A15" s="198" t="s">
        <v>200</v>
      </c>
      <c r="B15" s="214">
        <f>10269.66+117993.67+159616.81</f>
        <v>287880.14</v>
      </c>
      <c r="D15" s="198" t="s">
        <v>200</v>
      </c>
      <c r="E15" s="214">
        <f>3505.81+125872.12+76207.29</f>
        <v>205585.21999999997</v>
      </c>
    </row>
    <row r="16" spans="1:5" ht="18.75">
      <c r="A16" s="198" t="s">
        <v>144</v>
      </c>
      <c r="B16" s="215">
        <v>73985.57</v>
      </c>
      <c r="D16" s="198" t="s">
        <v>144</v>
      </c>
      <c r="E16" s="215">
        <v>43038.44</v>
      </c>
    </row>
    <row r="17" spans="1:5" ht="18.75">
      <c r="A17" s="198" t="s">
        <v>287</v>
      </c>
      <c r="B17" s="215">
        <v>0</v>
      </c>
      <c r="D17" s="198" t="s">
        <v>287</v>
      </c>
      <c r="E17" s="215">
        <v>2857.59</v>
      </c>
    </row>
    <row r="18" spans="1:5" ht="18.75">
      <c r="A18" s="198" t="s">
        <v>143</v>
      </c>
      <c r="B18" s="214">
        <f>134.69+2946</f>
        <v>3080.69</v>
      </c>
      <c r="D18" s="198" t="s">
        <v>143</v>
      </c>
      <c r="E18" s="214">
        <v>5513.08</v>
      </c>
    </row>
    <row r="19" spans="1:7" ht="18.75">
      <c r="A19" s="213" t="s">
        <v>122</v>
      </c>
      <c r="B19" s="212">
        <f>SUM(B11:B18)</f>
        <v>22976293.05</v>
      </c>
      <c r="D19" s="213" t="s">
        <v>122</v>
      </c>
      <c r="E19" s="212">
        <f>SUM(E11:E18)</f>
        <v>15939864.47</v>
      </c>
      <c r="F19" s="323"/>
      <c r="G19" s="183"/>
    </row>
    <row r="20" spans="1:7" ht="18.75">
      <c r="A20" s="211" t="s">
        <v>121</v>
      </c>
      <c r="B20" s="210">
        <f>B19/12</f>
        <v>1914691.0875000001</v>
      </c>
      <c r="D20" s="211" t="s">
        <v>121</v>
      </c>
      <c r="E20" s="210">
        <f>E19/12</f>
        <v>1328322.0391666668</v>
      </c>
      <c r="F20" s="209"/>
      <c r="G20" s="209"/>
    </row>
    <row r="21" spans="1:5" ht="18.75">
      <c r="A21" s="436"/>
      <c r="B21" s="436"/>
      <c r="C21" s="208"/>
      <c r="D21" s="436"/>
      <c r="E21" s="436"/>
    </row>
    <row r="22" spans="1:5" ht="18.75">
      <c r="A22" s="207"/>
      <c r="B22" s="206"/>
      <c r="C22" s="208"/>
      <c r="D22" s="207"/>
      <c r="E22" s="206"/>
    </row>
    <row r="23" ht="13.5" thickBot="1"/>
    <row r="24" spans="1:7" ht="15.75" thickBot="1">
      <c r="A24" s="417" t="s">
        <v>120</v>
      </c>
      <c r="B24" s="418"/>
      <c r="C24" s="418"/>
      <c r="D24" s="418"/>
      <c r="E24" s="418"/>
      <c r="F24" s="418"/>
      <c r="G24" s="419"/>
    </row>
    <row r="25" ht="13.5" thickBot="1"/>
    <row r="26" spans="1:7" ht="16.5" thickBot="1">
      <c r="A26" s="429" t="s">
        <v>435</v>
      </c>
      <c r="B26" s="430"/>
      <c r="C26" s="189"/>
      <c r="D26" s="431" t="s">
        <v>436</v>
      </c>
      <c r="E26" s="432"/>
      <c r="G26" s="204" t="s">
        <v>119</v>
      </c>
    </row>
    <row r="27" spans="1:9" ht="18.75">
      <c r="A27" s="427">
        <v>1036100.05</v>
      </c>
      <c r="B27" s="428"/>
      <c r="C27" s="187"/>
      <c r="D27" s="427">
        <v>1137685.35</v>
      </c>
      <c r="E27" s="428"/>
      <c r="F27" s="355"/>
      <c r="G27" s="268">
        <v>0.098</v>
      </c>
      <c r="I27" s="319" t="s">
        <v>12</v>
      </c>
    </row>
    <row r="28" ht="13.5" thickBot="1">
      <c r="G28" s="205"/>
    </row>
    <row r="29" spans="1:7" ht="16.5" thickBot="1">
      <c r="A29" s="429" t="s">
        <v>424</v>
      </c>
      <c r="B29" s="430"/>
      <c r="C29" s="189"/>
      <c r="D29" s="431" t="s">
        <v>436</v>
      </c>
      <c r="E29" s="432"/>
      <c r="F29" s="203"/>
      <c r="G29" s="204" t="s">
        <v>119</v>
      </c>
    </row>
    <row r="30" spans="1:11" ht="23.25">
      <c r="A30" s="427">
        <v>1427517.11</v>
      </c>
      <c r="B30" s="428"/>
      <c r="C30" s="187"/>
      <c r="D30" s="427">
        <f>D27</f>
        <v>1137685.35</v>
      </c>
      <c r="E30" s="428"/>
      <c r="F30" s="352"/>
      <c r="G30" s="244">
        <v>-0.203</v>
      </c>
      <c r="H30" s="242"/>
      <c r="J30" s="319" t="s">
        <v>12</v>
      </c>
      <c r="K30" s="319" t="s">
        <v>12</v>
      </c>
    </row>
    <row r="31" spans="4:7" ht="13.5" thickBot="1">
      <c r="D31" s="201"/>
      <c r="F31" s="203"/>
      <c r="G31" s="202"/>
    </row>
    <row r="32" spans="1:6" ht="25.5">
      <c r="A32" s="429" t="s">
        <v>437</v>
      </c>
      <c r="B32" s="430"/>
      <c r="D32" s="353"/>
      <c r="E32" s="345"/>
      <c r="F32" s="243"/>
    </row>
    <row r="33" spans="1:5" ht="23.25">
      <c r="A33" s="434">
        <v>15939864.47</v>
      </c>
      <c r="B33" s="435"/>
      <c r="D33" s="334"/>
      <c r="E33" s="344"/>
    </row>
    <row r="34" spans="1:4" ht="18.75">
      <c r="A34" s="200"/>
      <c r="B34" s="426"/>
      <c r="C34" s="426"/>
      <c r="D34" s="324"/>
    </row>
    <row r="35" spans="1:4" ht="18.75">
      <c r="A35" s="201"/>
      <c r="B35" s="256"/>
      <c r="D35" s="183"/>
    </row>
    <row r="36" spans="1:2" ht="15">
      <c r="A36" s="185"/>
      <c r="B36" s="200"/>
    </row>
  </sheetData>
  <sheetProtection/>
  <mergeCells count="21">
    <mergeCell ref="A30:B30"/>
    <mergeCell ref="D30:E30"/>
    <mergeCell ref="D26:E26"/>
    <mergeCell ref="A21:B21"/>
    <mergeCell ref="D21:E21"/>
    <mergeCell ref="B34:C34"/>
    <mergeCell ref="D27:E27"/>
    <mergeCell ref="A29:B29"/>
    <mergeCell ref="D29:E29"/>
    <mergeCell ref="A27:B27"/>
    <mergeCell ref="D8:E8"/>
    <mergeCell ref="A33:B33"/>
    <mergeCell ref="A32:B32"/>
    <mergeCell ref="A24:G24"/>
    <mergeCell ref="A26:B26"/>
    <mergeCell ref="A6:E6"/>
    <mergeCell ref="A7:E7"/>
    <mergeCell ref="A9:B9"/>
    <mergeCell ref="D9:E9"/>
    <mergeCell ref="A10:B10"/>
    <mergeCell ref="D10:E10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42"/>
  <sheetViews>
    <sheetView showGridLines="0" tabSelected="1" zoomScale="75" zoomScaleNormal="75" zoomScalePageLayoutView="0" workbookViewId="0" topLeftCell="A126">
      <selection activeCell="N142" sqref="N142"/>
    </sheetView>
  </sheetViews>
  <sheetFormatPr defaultColWidth="11.421875" defaultRowHeight="12.75"/>
  <cols>
    <col min="1" max="1" width="38.57421875" style="137" customWidth="1"/>
    <col min="2" max="2" width="35.421875" style="164" customWidth="1"/>
    <col min="3" max="3" width="15.28125" style="163" customWidth="1"/>
    <col min="4" max="4" width="17.7109375" style="163" customWidth="1"/>
    <col min="5" max="5" width="0.13671875" style="162" customWidth="1"/>
    <col min="6" max="11" width="11.421875" style="162" hidden="1" customWidth="1"/>
    <col min="12" max="12" width="11.421875" style="106" customWidth="1"/>
    <col min="13" max="16384" width="11.421875" style="162" customWidth="1"/>
  </cols>
  <sheetData>
    <row r="2" spans="1:4" ht="18">
      <c r="A2" s="437" t="s">
        <v>323</v>
      </c>
      <c r="B2" s="437"/>
      <c r="C2" s="437"/>
      <c r="D2" s="437"/>
    </row>
    <row r="3" spans="1:12" s="110" customFormat="1" ht="18">
      <c r="A3" s="179" t="s">
        <v>116</v>
      </c>
      <c r="B3" s="178"/>
      <c r="C3" s="178"/>
      <c r="D3" s="178"/>
      <c r="L3" s="106"/>
    </row>
    <row r="4" spans="1:4" ht="18">
      <c r="A4" s="177" t="s">
        <v>115</v>
      </c>
      <c r="B4" s="177" t="s">
        <v>114</v>
      </c>
      <c r="C4" s="176" t="s">
        <v>113</v>
      </c>
      <c r="D4" s="175" t="s">
        <v>209</v>
      </c>
    </row>
    <row r="5" spans="1:4" ht="18">
      <c r="A5" s="174" t="s">
        <v>112</v>
      </c>
      <c r="B5" s="174" t="s">
        <v>111</v>
      </c>
      <c r="C5" s="173" t="s">
        <v>110</v>
      </c>
      <c r="D5" s="172" t="s">
        <v>109</v>
      </c>
    </row>
    <row r="6" spans="1:4" ht="18">
      <c r="A6" s="250" t="s">
        <v>219</v>
      </c>
      <c r="B6" s="251" t="s">
        <v>220</v>
      </c>
      <c r="C6" s="347">
        <v>0.31</v>
      </c>
      <c r="D6" s="347"/>
    </row>
    <row r="7" spans="1:4" ht="18">
      <c r="A7" s="165" t="s">
        <v>221</v>
      </c>
      <c r="B7" s="170" t="s">
        <v>222</v>
      </c>
      <c r="C7" s="347">
        <v>2.85</v>
      </c>
      <c r="D7" s="348"/>
    </row>
    <row r="8" spans="1:4" ht="18">
      <c r="A8" s="165" t="s">
        <v>223</v>
      </c>
      <c r="B8" s="170" t="s">
        <v>224</v>
      </c>
      <c r="C8" s="347">
        <v>3.43</v>
      </c>
      <c r="D8" s="348"/>
    </row>
    <row r="9" spans="1:4" ht="18">
      <c r="A9" s="165" t="s">
        <v>225</v>
      </c>
      <c r="B9" s="170" t="s">
        <v>226</v>
      </c>
      <c r="C9" s="347">
        <v>0.43</v>
      </c>
      <c r="D9" s="348"/>
    </row>
    <row r="10" spans="1:12" ht="18">
      <c r="A10" s="167" t="s">
        <v>83</v>
      </c>
      <c r="B10" s="180" t="s">
        <v>16</v>
      </c>
      <c r="C10" s="349">
        <f>SUM(C6:C9)</f>
        <v>7.02</v>
      </c>
      <c r="D10" s="349">
        <f>31-C10</f>
        <v>23.98</v>
      </c>
      <c r="L10" s="106">
        <v>4</v>
      </c>
    </row>
    <row r="11" spans="1:4" ht="18">
      <c r="A11" s="165" t="s">
        <v>237</v>
      </c>
      <c r="B11" s="168" t="s">
        <v>238</v>
      </c>
      <c r="C11" s="350">
        <v>1.97</v>
      </c>
      <c r="D11" s="348"/>
    </row>
    <row r="12" spans="1:4" ht="18">
      <c r="A12" s="165" t="s">
        <v>239</v>
      </c>
      <c r="B12" s="168" t="s">
        <v>240</v>
      </c>
      <c r="C12" s="350">
        <v>0.46</v>
      </c>
      <c r="D12" s="348"/>
    </row>
    <row r="13" spans="1:4" ht="18">
      <c r="A13" s="165" t="s">
        <v>242</v>
      </c>
      <c r="B13" s="168" t="s">
        <v>243</v>
      </c>
      <c r="C13" s="350">
        <v>3.97</v>
      </c>
      <c r="D13" s="350"/>
    </row>
    <row r="14" spans="1:4" ht="18">
      <c r="A14" s="165" t="s">
        <v>244</v>
      </c>
      <c r="B14" s="168" t="s">
        <v>245</v>
      </c>
      <c r="C14" s="350">
        <v>0.31</v>
      </c>
      <c r="D14" s="350"/>
    </row>
    <row r="15" spans="1:4" ht="18">
      <c r="A15" s="165" t="s">
        <v>249</v>
      </c>
      <c r="B15" s="170" t="s">
        <v>250</v>
      </c>
      <c r="C15" s="350">
        <v>0.87</v>
      </c>
      <c r="D15" s="350"/>
    </row>
    <row r="16" spans="1:12" ht="18">
      <c r="A16" s="167" t="s">
        <v>83</v>
      </c>
      <c r="B16" s="180" t="s">
        <v>17</v>
      </c>
      <c r="C16" s="349">
        <f>SUM(C11:C15)</f>
        <v>7.58</v>
      </c>
      <c r="D16" s="349">
        <f>29-C16</f>
        <v>21.42</v>
      </c>
      <c r="L16" s="106">
        <v>5</v>
      </c>
    </row>
    <row r="17" spans="1:4" ht="18">
      <c r="A17" s="165" t="s">
        <v>249</v>
      </c>
      <c r="B17" s="168" t="s">
        <v>251</v>
      </c>
      <c r="C17" s="350">
        <v>4.86</v>
      </c>
      <c r="D17" s="350"/>
    </row>
    <row r="18" spans="1:4" ht="18">
      <c r="A18" s="165" t="s">
        <v>253</v>
      </c>
      <c r="B18" s="168" t="s">
        <v>252</v>
      </c>
      <c r="C18" s="350">
        <v>1</v>
      </c>
      <c r="D18" s="350"/>
    </row>
    <row r="19" spans="1:4" ht="18">
      <c r="A19" s="165" t="s">
        <v>254</v>
      </c>
      <c r="B19" s="168" t="s">
        <v>255</v>
      </c>
      <c r="C19" s="350">
        <v>2.6</v>
      </c>
      <c r="D19" s="350"/>
    </row>
    <row r="20" spans="1:4" ht="18">
      <c r="A20" s="165" t="s">
        <v>256</v>
      </c>
      <c r="B20" s="168" t="s">
        <v>257</v>
      </c>
      <c r="C20" s="350">
        <v>0.56</v>
      </c>
      <c r="D20" s="350"/>
    </row>
    <row r="21" spans="1:4" ht="18">
      <c r="A21" s="165" t="s">
        <v>258</v>
      </c>
      <c r="B21" s="168" t="s">
        <v>259</v>
      </c>
      <c r="C21" s="350">
        <v>0.89</v>
      </c>
      <c r="D21" s="350"/>
    </row>
    <row r="22" spans="1:4" ht="18">
      <c r="A22" s="165" t="s">
        <v>260</v>
      </c>
      <c r="B22" s="168" t="s">
        <v>261</v>
      </c>
      <c r="C22" s="350">
        <v>1.23</v>
      </c>
      <c r="D22" s="350"/>
    </row>
    <row r="23" spans="1:4" ht="18">
      <c r="A23" s="165" t="s">
        <v>262</v>
      </c>
      <c r="B23" s="168" t="s">
        <v>267</v>
      </c>
      <c r="C23" s="350">
        <v>2.1</v>
      </c>
      <c r="D23" s="350"/>
    </row>
    <row r="24" spans="1:4" ht="18">
      <c r="A24" s="165" t="s">
        <v>263</v>
      </c>
      <c r="B24" s="168" t="s">
        <v>268</v>
      </c>
      <c r="C24" s="350">
        <v>2.92</v>
      </c>
      <c r="D24" s="350"/>
    </row>
    <row r="25" spans="1:4" ht="18">
      <c r="A25" s="165" t="s">
        <v>264</v>
      </c>
      <c r="B25" s="168" t="s">
        <v>269</v>
      </c>
      <c r="C25" s="350">
        <v>1.17</v>
      </c>
      <c r="D25" s="350"/>
    </row>
    <row r="26" spans="1:4" ht="18">
      <c r="A26" s="165" t="s">
        <v>265</v>
      </c>
      <c r="B26" s="168" t="s">
        <v>270</v>
      </c>
      <c r="C26" s="350">
        <v>2.34</v>
      </c>
      <c r="D26" s="350"/>
    </row>
    <row r="27" spans="1:4" ht="18">
      <c r="A27" s="165" t="s">
        <v>266</v>
      </c>
      <c r="B27" s="168" t="s">
        <v>271</v>
      </c>
      <c r="C27" s="350">
        <v>0.3</v>
      </c>
      <c r="D27" s="350"/>
    </row>
    <row r="28" spans="1:4" ht="18">
      <c r="A28" s="165" t="s">
        <v>272</v>
      </c>
      <c r="B28" s="170" t="s">
        <v>273</v>
      </c>
      <c r="C28" s="350">
        <v>0.23</v>
      </c>
      <c r="D28" s="350"/>
    </row>
    <row r="29" spans="1:12" ht="18">
      <c r="A29" s="167" t="s">
        <v>83</v>
      </c>
      <c r="B29" s="180" t="s">
        <v>18</v>
      </c>
      <c r="C29" s="349">
        <f>SUM(C17:C28)</f>
        <v>20.200000000000006</v>
      </c>
      <c r="D29" s="349">
        <f>31-C29</f>
        <v>10.799999999999994</v>
      </c>
      <c r="L29" s="106">
        <v>11</v>
      </c>
    </row>
    <row r="30" spans="1:4" ht="18">
      <c r="A30" s="165" t="s">
        <v>272</v>
      </c>
      <c r="B30" s="168" t="s">
        <v>276</v>
      </c>
      <c r="C30" s="350">
        <v>4.71</v>
      </c>
      <c r="D30" s="350"/>
    </row>
    <row r="31" spans="1:4" ht="18">
      <c r="A31" s="165" t="s">
        <v>274</v>
      </c>
      <c r="B31" s="168" t="s">
        <v>275</v>
      </c>
      <c r="C31" s="350">
        <v>0.76</v>
      </c>
      <c r="D31" s="350"/>
    </row>
    <row r="32" spans="1:4" ht="18">
      <c r="A32" s="165" t="s">
        <v>277</v>
      </c>
      <c r="B32" s="168" t="s">
        <v>278</v>
      </c>
      <c r="C32" s="350">
        <v>0.5</v>
      </c>
      <c r="D32" s="350"/>
    </row>
    <row r="33" spans="1:4" ht="18">
      <c r="A33" s="165" t="s">
        <v>279</v>
      </c>
      <c r="B33" s="168" t="s">
        <v>280</v>
      </c>
      <c r="C33" s="350">
        <v>1.17</v>
      </c>
      <c r="D33" s="350"/>
    </row>
    <row r="34" spans="1:4" ht="18">
      <c r="A34" s="165" t="s">
        <v>281</v>
      </c>
      <c r="B34" s="168" t="s">
        <v>282</v>
      </c>
      <c r="C34" s="350">
        <v>0.35</v>
      </c>
      <c r="D34" s="350"/>
    </row>
    <row r="35" spans="1:4" ht="18">
      <c r="A35" s="165" t="s">
        <v>283</v>
      </c>
      <c r="B35" s="168" t="s">
        <v>284</v>
      </c>
      <c r="C35" s="350">
        <v>2.42</v>
      </c>
      <c r="D35" s="350"/>
    </row>
    <row r="36" spans="1:12" ht="18">
      <c r="A36" s="167" t="s">
        <v>83</v>
      </c>
      <c r="B36" s="180" t="s">
        <v>68</v>
      </c>
      <c r="C36" s="349">
        <f>SUM(C30:C35)</f>
        <v>9.91</v>
      </c>
      <c r="D36" s="349">
        <f>30-C36</f>
        <v>20.09</v>
      </c>
      <c r="L36" s="106">
        <v>5</v>
      </c>
    </row>
    <row r="37" spans="1:4" ht="18">
      <c r="A37" s="165" t="s">
        <v>289</v>
      </c>
      <c r="B37" s="168" t="s">
        <v>290</v>
      </c>
      <c r="C37" s="350">
        <v>0.52</v>
      </c>
      <c r="D37" s="350"/>
    </row>
    <row r="38" spans="1:4" ht="18">
      <c r="A38" s="165" t="s">
        <v>291</v>
      </c>
      <c r="B38" s="168" t="s">
        <v>292</v>
      </c>
      <c r="C38" s="350">
        <v>1.72</v>
      </c>
      <c r="D38" s="350"/>
    </row>
    <row r="39" spans="1:4" ht="18">
      <c r="A39" s="165" t="s">
        <v>293</v>
      </c>
      <c r="B39" s="168" t="s">
        <v>300</v>
      </c>
      <c r="C39" s="350">
        <v>0.6</v>
      </c>
      <c r="D39" s="350"/>
    </row>
    <row r="40" spans="1:4" ht="18">
      <c r="A40" s="165" t="s">
        <v>294</v>
      </c>
      <c r="B40" s="168" t="s">
        <v>301</v>
      </c>
      <c r="C40" s="350">
        <v>3.19</v>
      </c>
      <c r="D40" s="350"/>
    </row>
    <row r="41" spans="1:4" ht="18">
      <c r="A41" s="165" t="s">
        <v>295</v>
      </c>
      <c r="B41" s="168" t="s">
        <v>302</v>
      </c>
      <c r="C41" s="350">
        <v>3.3</v>
      </c>
      <c r="D41" s="350"/>
    </row>
    <row r="42" spans="1:4" ht="18">
      <c r="A42" s="165" t="s">
        <v>296</v>
      </c>
      <c r="B42" s="168" t="s">
        <v>303</v>
      </c>
      <c r="C42" s="350">
        <v>0.56</v>
      </c>
      <c r="D42" s="350"/>
    </row>
    <row r="43" spans="1:4" ht="18">
      <c r="A43" s="165" t="s">
        <v>297</v>
      </c>
      <c r="B43" s="168" t="s">
        <v>304</v>
      </c>
      <c r="C43" s="350">
        <v>1.35</v>
      </c>
      <c r="D43" s="350"/>
    </row>
    <row r="44" spans="1:4" ht="18">
      <c r="A44" s="165" t="s">
        <v>298</v>
      </c>
      <c r="B44" s="168" t="s">
        <v>305</v>
      </c>
      <c r="C44" s="350">
        <v>3.44</v>
      </c>
      <c r="D44" s="350"/>
    </row>
    <row r="45" spans="1:4" ht="18">
      <c r="A45" s="165" t="s">
        <v>299</v>
      </c>
      <c r="B45" s="168" t="s">
        <v>306</v>
      </c>
      <c r="C45" s="350">
        <v>0.23</v>
      </c>
      <c r="D45" s="350"/>
    </row>
    <row r="46" spans="1:12" ht="18">
      <c r="A46" s="167" t="s">
        <v>83</v>
      </c>
      <c r="B46" s="180" t="s">
        <v>67</v>
      </c>
      <c r="C46" s="349">
        <f>SUM(C37:C45)</f>
        <v>14.91</v>
      </c>
      <c r="D46" s="349">
        <f>31-C46</f>
        <v>16.09</v>
      </c>
      <c r="L46" s="106">
        <v>9</v>
      </c>
    </row>
    <row r="47" spans="1:4" ht="18">
      <c r="A47" s="165" t="s">
        <v>308</v>
      </c>
      <c r="B47" s="168" t="s">
        <v>309</v>
      </c>
      <c r="C47" s="350">
        <v>0.75</v>
      </c>
      <c r="D47" s="350"/>
    </row>
    <row r="48" spans="1:4" ht="18">
      <c r="A48" s="165" t="s">
        <v>310</v>
      </c>
      <c r="B48" s="168" t="s">
        <v>311</v>
      </c>
      <c r="C48" s="350">
        <v>1.48</v>
      </c>
      <c r="D48" s="350"/>
    </row>
    <row r="49" spans="1:4" ht="18">
      <c r="A49" s="165" t="s">
        <v>312</v>
      </c>
      <c r="B49" s="168" t="s">
        <v>313</v>
      </c>
      <c r="C49" s="350">
        <v>1.97</v>
      </c>
      <c r="D49" s="350"/>
    </row>
    <row r="50" spans="1:4" ht="18">
      <c r="A50" s="165" t="s">
        <v>314</v>
      </c>
      <c r="B50" s="168" t="s">
        <v>315</v>
      </c>
      <c r="C50" s="350">
        <v>1.46</v>
      </c>
      <c r="D50" s="350"/>
    </row>
    <row r="51" spans="1:4" ht="18">
      <c r="A51" s="165" t="s">
        <v>316</v>
      </c>
      <c r="B51" s="168" t="s">
        <v>317</v>
      </c>
      <c r="C51" s="350">
        <v>0.42</v>
      </c>
      <c r="D51" s="350"/>
    </row>
    <row r="52" spans="1:4" ht="18">
      <c r="A52" s="165" t="s">
        <v>318</v>
      </c>
      <c r="B52" s="168" t="s">
        <v>319</v>
      </c>
      <c r="C52" s="350">
        <v>4.6</v>
      </c>
      <c r="D52" s="350"/>
    </row>
    <row r="53" spans="1:4" ht="18">
      <c r="A53" s="165" t="s">
        <v>320</v>
      </c>
      <c r="B53" s="168" t="s">
        <v>321</v>
      </c>
      <c r="C53" s="350">
        <v>1</v>
      </c>
      <c r="D53" s="350"/>
    </row>
    <row r="54" spans="1:12" ht="18">
      <c r="A54" s="167" t="s">
        <v>83</v>
      </c>
      <c r="B54" s="180" t="s">
        <v>66</v>
      </c>
      <c r="C54" s="349">
        <f>SUM(C47:C53)</f>
        <v>11.68</v>
      </c>
      <c r="D54" s="349">
        <f>30-C54</f>
        <v>18.32</v>
      </c>
      <c r="L54" s="106">
        <v>7</v>
      </c>
    </row>
    <row r="55" spans="1:11" ht="18">
      <c r="A55" s="106"/>
      <c r="B55" s="117"/>
      <c r="C55" s="322"/>
      <c r="D55" s="322"/>
      <c r="E55" s="106"/>
      <c r="F55" s="106"/>
      <c r="G55" s="106"/>
      <c r="H55" s="106"/>
      <c r="I55" s="106"/>
      <c r="J55" s="106"/>
      <c r="K55" s="106"/>
    </row>
    <row r="56" spans="1:11" ht="18">
      <c r="A56" s="106"/>
      <c r="B56" s="117"/>
      <c r="C56" s="322"/>
      <c r="D56" s="322"/>
      <c r="E56" s="106"/>
      <c r="F56" s="106"/>
      <c r="G56" s="106"/>
      <c r="H56" s="106"/>
      <c r="I56" s="106"/>
      <c r="J56" s="106"/>
      <c r="K56" s="106"/>
    </row>
    <row r="57" spans="1:11" ht="18">
      <c r="A57" s="106"/>
      <c r="B57" s="117"/>
      <c r="C57" s="322"/>
      <c r="D57" s="322"/>
      <c r="E57" s="106"/>
      <c r="F57" s="106"/>
      <c r="G57" s="106"/>
      <c r="H57" s="106"/>
      <c r="I57" s="106"/>
      <c r="J57" s="106"/>
      <c r="K57" s="106"/>
    </row>
    <row r="58" spans="1:11" ht="18">
      <c r="A58" s="106"/>
      <c r="B58" s="117"/>
      <c r="C58" s="322"/>
      <c r="D58" s="322"/>
      <c r="E58" s="106"/>
      <c r="F58" s="106"/>
      <c r="G58" s="106"/>
      <c r="H58" s="106"/>
      <c r="I58" s="106"/>
      <c r="J58" s="106"/>
      <c r="K58" s="106"/>
    </row>
    <row r="59" spans="1:11" ht="18">
      <c r="A59" s="106"/>
      <c r="B59" s="117"/>
      <c r="C59" s="322"/>
      <c r="D59" s="322"/>
      <c r="E59" s="106"/>
      <c r="F59" s="106"/>
      <c r="G59" s="106"/>
      <c r="H59" s="106"/>
      <c r="I59" s="106"/>
      <c r="J59" s="106"/>
      <c r="K59" s="106"/>
    </row>
    <row r="60" spans="1:11" ht="18">
      <c r="A60" s="106"/>
      <c r="B60" s="117"/>
      <c r="C60" s="322"/>
      <c r="D60" s="322"/>
      <c r="E60" s="106"/>
      <c r="F60" s="106"/>
      <c r="G60" s="106"/>
      <c r="H60" s="106"/>
      <c r="I60" s="106"/>
      <c r="J60" s="106"/>
      <c r="K60" s="106"/>
    </row>
    <row r="61" spans="1:11" ht="18">
      <c r="A61" s="106"/>
      <c r="B61" s="117"/>
      <c r="C61" s="322"/>
      <c r="D61" s="322"/>
      <c r="E61" s="106"/>
      <c r="F61" s="106"/>
      <c r="G61" s="106"/>
      <c r="H61" s="106"/>
      <c r="I61" s="106"/>
      <c r="J61" s="106"/>
      <c r="K61" s="106"/>
    </row>
    <row r="62" spans="1:11" ht="18">
      <c r="A62" s="106"/>
      <c r="B62" s="117"/>
      <c r="C62" s="322"/>
      <c r="D62" s="322"/>
      <c r="E62" s="106"/>
      <c r="F62" s="106"/>
      <c r="G62" s="106"/>
      <c r="H62" s="106"/>
      <c r="I62" s="106"/>
      <c r="J62" s="106"/>
      <c r="K62" s="106"/>
    </row>
    <row r="63" spans="1:11" ht="18">
      <c r="A63" s="106"/>
      <c r="B63" s="117"/>
      <c r="C63" s="322"/>
      <c r="D63" s="322"/>
      <c r="E63" s="106"/>
      <c r="F63" s="106"/>
      <c r="G63" s="106"/>
      <c r="H63" s="106"/>
      <c r="I63" s="106"/>
      <c r="J63" s="106"/>
      <c r="K63" s="106"/>
    </row>
    <row r="64" spans="1:11" ht="18">
      <c r="A64" s="106"/>
      <c r="B64" s="117"/>
      <c r="C64" s="322"/>
      <c r="D64" s="322"/>
      <c r="E64" s="106"/>
      <c r="F64" s="106"/>
      <c r="G64" s="106"/>
      <c r="H64" s="106"/>
      <c r="I64" s="106"/>
      <c r="J64" s="106"/>
      <c r="K64" s="106"/>
    </row>
    <row r="65" spans="1:11" ht="18">
      <c r="A65" s="106"/>
      <c r="B65" s="117"/>
      <c r="C65" s="322"/>
      <c r="D65" s="322"/>
      <c r="E65" s="106"/>
      <c r="F65" s="106"/>
      <c r="G65" s="106"/>
      <c r="H65" s="106"/>
      <c r="I65" s="106"/>
      <c r="J65" s="106"/>
      <c r="K65" s="106"/>
    </row>
    <row r="66" spans="1:11" ht="18">
      <c r="A66" s="106"/>
      <c r="B66" s="117"/>
      <c r="C66" s="322"/>
      <c r="D66" s="322"/>
      <c r="E66" s="106"/>
      <c r="F66" s="106"/>
      <c r="G66" s="106"/>
      <c r="H66" s="106"/>
      <c r="I66" s="106"/>
      <c r="J66" s="106"/>
      <c r="K66" s="106"/>
    </row>
    <row r="67" spans="1:11" ht="18">
      <c r="A67" s="106"/>
      <c r="B67" s="117"/>
      <c r="C67" s="322"/>
      <c r="D67" s="322"/>
      <c r="E67" s="106"/>
      <c r="F67" s="106"/>
      <c r="G67" s="106"/>
      <c r="H67" s="106"/>
      <c r="I67" s="106"/>
      <c r="J67" s="106"/>
      <c r="K67" s="106"/>
    </row>
    <row r="68" spans="1:11" ht="18">
      <c r="A68" s="106"/>
      <c r="B68" s="117"/>
      <c r="C68" s="322"/>
      <c r="D68" s="322"/>
      <c r="E68" s="106"/>
      <c r="F68" s="106"/>
      <c r="G68" s="106"/>
      <c r="H68" s="106"/>
      <c r="I68" s="106"/>
      <c r="J68" s="106"/>
      <c r="K68" s="106"/>
    </row>
    <row r="69" spans="1:11" ht="18">
      <c r="A69" s="106"/>
      <c r="B69" s="117"/>
      <c r="C69" s="322"/>
      <c r="D69" s="322"/>
      <c r="E69" s="106"/>
      <c r="F69" s="106"/>
      <c r="G69" s="106"/>
      <c r="H69" s="106"/>
      <c r="I69" s="106"/>
      <c r="J69" s="106"/>
      <c r="K69" s="106"/>
    </row>
    <row r="70" spans="1:11" ht="18">
      <c r="A70" s="106"/>
      <c r="B70" s="117"/>
      <c r="C70" s="322"/>
      <c r="D70" s="322"/>
      <c r="E70" s="106"/>
      <c r="F70" s="106"/>
      <c r="G70" s="106"/>
      <c r="H70" s="106"/>
      <c r="I70" s="106"/>
      <c r="J70" s="106"/>
      <c r="K70" s="106"/>
    </row>
    <row r="71" spans="1:11" ht="18">
      <c r="A71" s="106"/>
      <c r="B71" s="117"/>
      <c r="C71" s="322"/>
      <c r="D71" s="322"/>
      <c r="E71" s="106"/>
      <c r="F71" s="106"/>
      <c r="G71" s="106"/>
      <c r="H71" s="106"/>
      <c r="I71" s="106"/>
      <c r="J71" s="106"/>
      <c r="K71" s="106"/>
    </row>
    <row r="72" spans="1:12" ht="18">
      <c r="A72" s="437" t="s">
        <v>323</v>
      </c>
      <c r="B72" s="437"/>
      <c r="C72" s="437"/>
      <c r="D72" s="437"/>
      <c r="L72" s="207"/>
    </row>
    <row r="73" spans="1:12" ht="18">
      <c r="A73" s="179" t="s">
        <v>116</v>
      </c>
      <c r="B73" s="178"/>
      <c r="C73" s="178"/>
      <c r="D73" s="178"/>
      <c r="L73" s="207"/>
    </row>
    <row r="74" spans="1:4" ht="18">
      <c r="A74" s="177" t="s">
        <v>115</v>
      </c>
      <c r="B74" s="177" t="s">
        <v>114</v>
      </c>
      <c r="C74" s="176" t="s">
        <v>113</v>
      </c>
      <c r="D74" s="175" t="s">
        <v>209</v>
      </c>
    </row>
    <row r="75" spans="1:4" ht="18">
      <c r="A75" s="174" t="s">
        <v>112</v>
      </c>
      <c r="B75" s="174" t="s">
        <v>111</v>
      </c>
      <c r="C75" s="173" t="s">
        <v>110</v>
      </c>
      <c r="D75" s="172" t="s">
        <v>109</v>
      </c>
    </row>
    <row r="76" spans="1:4" ht="18">
      <c r="A76" s="250" t="s">
        <v>320</v>
      </c>
      <c r="B76" s="251" t="s">
        <v>325</v>
      </c>
      <c r="C76" s="347">
        <v>1.22</v>
      </c>
      <c r="D76" s="347"/>
    </row>
    <row r="77" spans="1:4" ht="18">
      <c r="A77" s="250" t="s">
        <v>327</v>
      </c>
      <c r="B77" s="357" t="s">
        <v>326</v>
      </c>
      <c r="C77" s="347">
        <v>0.75</v>
      </c>
      <c r="D77" s="347"/>
    </row>
    <row r="78" spans="1:4" ht="18">
      <c r="A78" s="250" t="s">
        <v>328</v>
      </c>
      <c r="B78" s="357" t="s">
        <v>334</v>
      </c>
      <c r="C78" s="347">
        <v>0.73</v>
      </c>
      <c r="D78" s="347"/>
    </row>
    <row r="79" spans="1:4" ht="18">
      <c r="A79" s="165" t="s">
        <v>329</v>
      </c>
      <c r="B79" s="170" t="s">
        <v>335</v>
      </c>
      <c r="C79" s="347">
        <v>0.46</v>
      </c>
      <c r="D79" s="348"/>
    </row>
    <row r="80" spans="1:4" ht="18">
      <c r="A80" s="165" t="s">
        <v>330</v>
      </c>
      <c r="B80" s="170" t="s">
        <v>338</v>
      </c>
      <c r="C80" s="347">
        <v>1.8</v>
      </c>
      <c r="D80" s="348"/>
    </row>
    <row r="81" spans="1:4" ht="18">
      <c r="A81" s="165" t="s">
        <v>331</v>
      </c>
      <c r="B81" s="170" t="s">
        <v>336</v>
      </c>
      <c r="C81" s="347">
        <v>1.02</v>
      </c>
      <c r="D81" s="348"/>
    </row>
    <row r="82" spans="1:4" ht="18">
      <c r="A82" s="165" t="s">
        <v>332</v>
      </c>
      <c r="B82" s="170" t="s">
        <v>339</v>
      </c>
      <c r="C82" s="347">
        <v>0.27</v>
      </c>
      <c r="D82" s="348"/>
    </row>
    <row r="83" spans="1:4" ht="18">
      <c r="A83" s="165" t="s">
        <v>333</v>
      </c>
      <c r="B83" s="170" t="s">
        <v>337</v>
      </c>
      <c r="C83" s="347">
        <v>4.94</v>
      </c>
      <c r="D83" s="348"/>
    </row>
    <row r="84" spans="1:4" ht="18">
      <c r="A84" s="165" t="s">
        <v>340</v>
      </c>
      <c r="B84" s="170" t="s">
        <v>341</v>
      </c>
      <c r="C84" s="347">
        <v>4.14</v>
      </c>
      <c r="D84" s="348"/>
    </row>
    <row r="85" spans="1:12" ht="18">
      <c r="A85" s="167" t="s">
        <v>83</v>
      </c>
      <c r="B85" s="180" t="s">
        <v>39</v>
      </c>
      <c r="C85" s="349">
        <f>SUM(C76:C84)</f>
        <v>15.330000000000002</v>
      </c>
      <c r="D85" s="349">
        <f>31-C85</f>
        <v>15.669999999999998</v>
      </c>
      <c r="L85" s="106">
        <v>8</v>
      </c>
    </row>
    <row r="86" spans="1:4" ht="18">
      <c r="A86" s="165" t="s">
        <v>340</v>
      </c>
      <c r="B86" s="168" t="s">
        <v>343</v>
      </c>
      <c r="C86" s="350">
        <v>1.52</v>
      </c>
      <c r="D86" s="348"/>
    </row>
    <row r="87" spans="1:4" ht="18">
      <c r="A87" s="165" t="s">
        <v>344</v>
      </c>
      <c r="B87" s="168" t="s">
        <v>345</v>
      </c>
      <c r="C87" s="350">
        <v>0.68</v>
      </c>
      <c r="D87" s="348"/>
    </row>
    <row r="88" spans="1:4" ht="18">
      <c r="A88" s="165" t="s">
        <v>346</v>
      </c>
      <c r="B88" s="168" t="s">
        <v>347</v>
      </c>
      <c r="C88" s="350">
        <v>0.75</v>
      </c>
      <c r="D88" s="348"/>
    </row>
    <row r="89" spans="1:4" ht="18">
      <c r="A89" s="165" t="s">
        <v>348</v>
      </c>
      <c r="B89" s="168" t="s">
        <v>349</v>
      </c>
      <c r="C89" s="350">
        <v>3.72</v>
      </c>
      <c r="D89" s="348"/>
    </row>
    <row r="90" spans="1:4" ht="18">
      <c r="A90" s="165" t="s">
        <v>350</v>
      </c>
      <c r="B90" s="168" t="s">
        <v>351</v>
      </c>
      <c r="C90" s="350">
        <v>0.46</v>
      </c>
      <c r="D90" s="348"/>
    </row>
    <row r="91" spans="1:4" ht="18">
      <c r="A91" s="165" t="s">
        <v>352</v>
      </c>
      <c r="B91" s="168" t="s">
        <v>353</v>
      </c>
      <c r="C91" s="350">
        <v>3.14</v>
      </c>
      <c r="D91" s="348"/>
    </row>
    <row r="92" spans="1:4" ht="18">
      <c r="A92" s="165" t="s">
        <v>354</v>
      </c>
      <c r="B92" s="168" t="s">
        <v>355</v>
      </c>
      <c r="C92" s="350">
        <v>1.52</v>
      </c>
      <c r="D92" s="348"/>
    </row>
    <row r="93" spans="1:4" ht="18">
      <c r="A93" s="165" t="s">
        <v>356</v>
      </c>
      <c r="B93" s="168" t="s">
        <v>357</v>
      </c>
      <c r="C93" s="350">
        <v>5.03</v>
      </c>
      <c r="D93" s="348"/>
    </row>
    <row r="94" spans="1:4" ht="18">
      <c r="A94" s="165" t="s">
        <v>358</v>
      </c>
      <c r="B94" s="168" t="s">
        <v>359</v>
      </c>
      <c r="C94" s="350">
        <v>0.68</v>
      </c>
      <c r="D94" s="348"/>
    </row>
    <row r="95" spans="1:4" ht="18">
      <c r="A95" s="165" t="s">
        <v>360</v>
      </c>
      <c r="B95" s="168" t="s">
        <v>361</v>
      </c>
      <c r="C95" s="350">
        <v>0.25</v>
      </c>
      <c r="D95" s="348"/>
    </row>
    <row r="96" spans="1:4" ht="18">
      <c r="A96" s="165" t="s">
        <v>362</v>
      </c>
      <c r="B96" s="168" t="s">
        <v>363</v>
      </c>
      <c r="C96" s="350">
        <v>1.34</v>
      </c>
      <c r="D96" s="348"/>
    </row>
    <row r="97" spans="1:4" ht="18">
      <c r="A97" s="165" t="s">
        <v>364</v>
      </c>
      <c r="B97" s="168" t="s">
        <v>365</v>
      </c>
      <c r="C97" s="350">
        <v>0.43</v>
      </c>
      <c r="D97" s="348"/>
    </row>
    <row r="98" spans="1:4" ht="18">
      <c r="A98" s="165" t="s">
        <v>366</v>
      </c>
      <c r="B98" s="168" t="s">
        <v>367</v>
      </c>
      <c r="C98" s="350">
        <v>1.46</v>
      </c>
      <c r="D98" s="348"/>
    </row>
    <row r="99" spans="1:6" ht="18">
      <c r="A99" s="165" t="s">
        <v>368</v>
      </c>
      <c r="B99" s="168" t="s">
        <v>369</v>
      </c>
      <c r="C99" s="350">
        <v>3.6</v>
      </c>
      <c r="D99" s="350"/>
      <c r="F99" s="162">
        <v>14</v>
      </c>
    </row>
    <row r="100" spans="1:12" ht="18">
      <c r="A100" s="167" t="s">
        <v>83</v>
      </c>
      <c r="B100" s="180" t="s">
        <v>40</v>
      </c>
      <c r="C100" s="349">
        <f>SUM(C86:C99)</f>
        <v>24.580000000000002</v>
      </c>
      <c r="D100" s="349">
        <f>31-C100</f>
        <v>6.419999999999998</v>
      </c>
      <c r="L100" s="106">
        <v>13</v>
      </c>
    </row>
    <row r="101" spans="1:6" ht="18">
      <c r="A101" s="165" t="s">
        <v>368</v>
      </c>
      <c r="B101" s="170" t="s">
        <v>371</v>
      </c>
      <c r="C101" s="350">
        <v>0.43</v>
      </c>
      <c r="D101" s="350"/>
      <c r="F101" s="162">
        <v>63</v>
      </c>
    </row>
    <row r="102" spans="1:4" ht="18">
      <c r="A102" s="165" t="s">
        <v>372</v>
      </c>
      <c r="B102" s="170" t="s">
        <v>373</v>
      </c>
      <c r="C102" s="350">
        <v>4.4</v>
      </c>
      <c r="D102" s="350"/>
    </row>
    <row r="103" spans="1:4" ht="18">
      <c r="A103" s="165" t="s">
        <v>383</v>
      </c>
      <c r="B103" s="170" t="s">
        <v>374</v>
      </c>
      <c r="C103" s="350">
        <v>0.18</v>
      </c>
      <c r="D103" s="350"/>
    </row>
    <row r="104" spans="1:4" ht="18">
      <c r="A104" s="165" t="s">
        <v>375</v>
      </c>
      <c r="B104" s="170" t="s">
        <v>384</v>
      </c>
      <c r="C104" s="350">
        <v>3.22</v>
      </c>
      <c r="D104" s="350"/>
    </row>
    <row r="105" spans="1:4" ht="18">
      <c r="A105" s="165" t="s">
        <v>376</v>
      </c>
      <c r="B105" s="170" t="s">
        <v>385</v>
      </c>
      <c r="C105" s="350">
        <v>0.35</v>
      </c>
      <c r="D105" s="350"/>
    </row>
    <row r="106" spans="1:4" ht="18">
      <c r="A106" s="165" t="s">
        <v>386</v>
      </c>
      <c r="B106" s="170" t="s">
        <v>377</v>
      </c>
      <c r="C106" s="350">
        <v>2.75</v>
      </c>
      <c r="D106" s="350"/>
    </row>
    <row r="107" spans="1:4" ht="18">
      <c r="A107" s="165" t="s">
        <v>387</v>
      </c>
      <c r="B107" s="170" t="s">
        <v>378</v>
      </c>
      <c r="C107" s="350">
        <v>2.23</v>
      </c>
      <c r="D107" s="350"/>
    </row>
    <row r="108" spans="1:4" ht="18">
      <c r="A108" s="165" t="s">
        <v>379</v>
      </c>
      <c r="B108" s="170" t="s">
        <v>388</v>
      </c>
      <c r="C108" s="350">
        <v>1.01</v>
      </c>
      <c r="D108" s="350"/>
    </row>
    <row r="109" spans="1:4" ht="18">
      <c r="A109" s="165" t="s">
        <v>380</v>
      </c>
      <c r="B109" s="170" t="s">
        <v>381</v>
      </c>
      <c r="C109" s="350">
        <v>0.31</v>
      </c>
      <c r="D109" s="350"/>
    </row>
    <row r="110" spans="1:4" ht="18">
      <c r="A110" s="165" t="s">
        <v>389</v>
      </c>
      <c r="B110" s="170" t="s">
        <v>382</v>
      </c>
      <c r="C110" s="350">
        <v>2.47</v>
      </c>
      <c r="D110" s="350"/>
    </row>
    <row r="111" spans="1:12" ht="18">
      <c r="A111" s="167" t="s">
        <v>83</v>
      </c>
      <c r="B111" s="180" t="s">
        <v>41</v>
      </c>
      <c r="C111" s="349">
        <f>SUM(C101:C110)</f>
        <v>17.35</v>
      </c>
      <c r="D111" s="349">
        <f>30-C111</f>
        <v>12.649999999999999</v>
      </c>
      <c r="L111" s="106">
        <v>9</v>
      </c>
    </row>
    <row r="112" spans="1:4" ht="18">
      <c r="A112" s="165" t="s">
        <v>390</v>
      </c>
      <c r="B112" s="170" t="s">
        <v>391</v>
      </c>
      <c r="C112" s="350">
        <v>0.39</v>
      </c>
      <c r="D112" s="350"/>
    </row>
    <row r="113" spans="1:4" ht="18">
      <c r="A113" s="165" t="s">
        <v>392</v>
      </c>
      <c r="B113" s="170" t="s">
        <v>393</v>
      </c>
      <c r="C113" s="350">
        <v>0.68</v>
      </c>
      <c r="D113" s="350"/>
    </row>
    <row r="114" spans="1:4" ht="18">
      <c r="A114" s="165" t="s">
        <v>394</v>
      </c>
      <c r="B114" s="170" t="s">
        <v>395</v>
      </c>
      <c r="C114" s="350">
        <v>0.44</v>
      </c>
      <c r="D114" s="350"/>
    </row>
    <row r="115" spans="1:4" ht="18">
      <c r="A115" s="165" t="s">
        <v>396</v>
      </c>
      <c r="B115" s="170" t="s">
        <v>397</v>
      </c>
      <c r="C115" s="350">
        <v>2.47</v>
      </c>
      <c r="D115" s="350"/>
    </row>
    <row r="116" spans="1:4" ht="18">
      <c r="A116" s="165" t="s">
        <v>396</v>
      </c>
      <c r="B116" s="170" t="s">
        <v>398</v>
      </c>
      <c r="C116" s="350">
        <v>5.39</v>
      </c>
      <c r="D116" s="350"/>
    </row>
    <row r="117" spans="1:4" ht="18">
      <c r="A117" s="165" t="s">
        <v>399</v>
      </c>
      <c r="B117" s="170" t="s">
        <v>400</v>
      </c>
      <c r="C117" s="350">
        <v>2.26</v>
      </c>
      <c r="D117" s="350"/>
    </row>
    <row r="118" spans="1:4" ht="18">
      <c r="A118" s="165" t="s">
        <v>401</v>
      </c>
      <c r="B118" s="170" t="s">
        <v>402</v>
      </c>
      <c r="C118" s="350">
        <v>0.39</v>
      </c>
      <c r="D118" s="350"/>
    </row>
    <row r="119" spans="1:4" ht="18">
      <c r="A119" s="165" t="s">
        <v>403</v>
      </c>
      <c r="B119" s="170" t="s">
        <v>404</v>
      </c>
      <c r="C119" s="350">
        <v>0.65</v>
      </c>
      <c r="D119" s="350"/>
    </row>
    <row r="120" spans="1:12" ht="18">
      <c r="A120" s="167" t="s">
        <v>83</v>
      </c>
      <c r="B120" s="180" t="s">
        <v>42</v>
      </c>
      <c r="C120" s="349">
        <f>SUM(C112:C119)</f>
        <v>12.670000000000002</v>
      </c>
      <c r="D120" s="349">
        <f>31-C120</f>
        <v>18.33</v>
      </c>
      <c r="L120" s="106">
        <v>8</v>
      </c>
    </row>
    <row r="121" spans="1:4" ht="18">
      <c r="A121" s="165" t="s">
        <v>406</v>
      </c>
      <c r="B121" s="170" t="s">
        <v>416</v>
      </c>
      <c r="C121" s="350">
        <v>2.67</v>
      </c>
      <c r="D121" s="350"/>
    </row>
    <row r="122" spans="1:4" ht="18">
      <c r="A122" s="165" t="s">
        <v>407</v>
      </c>
      <c r="B122" s="170" t="s">
        <v>417</v>
      </c>
      <c r="C122" s="350">
        <v>3.43</v>
      </c>
      <c r="D122" s="350"/>
    </row>
    <row r="123" spans="1:4" ht="18">
      <c r="A123" s="165" t="s">
        <v>408</v>
      </c>
      <c r="B123" s="170" t="s">
        <v>421</v>
      </c>
      <c r="C123" s="350">
        <v>0.69</v>
      </c>
      <c r="D123" s="350"/>
    </row>
    <row r="124" spans="1:4" ht="18">
      <c r="A124" s="165" t="s">
        <v>409</v>
      </c>
      <c r="B124" s="170" t="s">
        <v>418</v>
      </c>
      <c r="C124" s="350">
        <v>0.51</v>
      </c>
      <c r="D124" s="350"/>
    </row>
    <row r="125" spans="1:4" ht="18">
      <c r="A125" s="165" t="s">
        <v>410</v>
      </c>
      <c r="B125" s="170" t="s">
        <v>422</v>
      </c>
      <c r="C125" s="350">
        <v>3.11</v>
      </c>
      <c r="D125" s="350"/>
    </row>
    <row r="126" spans="1:4" ht="18">
      <c r="A126" s="165" t="s">
        <v>411</v>
      </c>
      <c r="B126" s="170" t="s">
        <v>419</v>
      </c>
      <c r="C126" s="350">
        <v>6.43</v>
      </c>
      <c r="D126" s="350"/>
    </row>
    <row r="127" spans="1:4" ht="18">
      <c r="A127" s="165" t="s">
        <v>412</v>
      </c>
      <c r="B127" s="170" t="s">
        <v>423</v>
      </c>
      <c r="C127" s="350">
        <v>0.25</v>
      </c>
      <c r="D127" s="350"/>
    </row>
    <row r="128" spans="1:4" ht="18">
      <c r="A128" s="165" t="s">
        <v>413</v>
      </c>
      <c r="B128" s="170" t="s">
        <v>420</v>
      </c>
      <c r="C128" s="350">
        <v>0.77</v>
      </c>
      <c r="D128" s="350"/>
    </row>
    <row r="129" spans="1:4" ht="18">
      <c r="A129" s="165" t="s">
        <v>414</v>
      </c>
      <c r="B129" s="170" t="s">
        <v>415</v>
      </c>
      <c r="C129" s="350">
        <v>1.06</v>
      </c>
      <c r="D129" s="350"/>
    </row>
    <row r="130" spans="1:4" ht="18">
      <c r="A130" s="165" t="s">
        <v>427</v>
      </c>
      <c r="B130" s="170" t="s">
        <v>428</v>
      </c>
      <c r="C130" s="350">
        <v>1.68</v>
      </c>
      <c r="D130" s="350"/>
    </row>
    <row r="131" spans="1:12" ht="18">
      <c r="A131" s="167" t="s">
        <v>83</v>
      </c>
      <c r="B131" s="180" t="s">
        <v>43</v>
      </c>
      <c r="C131" s="349">
        <f>SUM(C121:C130)</f>
        <v>20.599999999999994</v>
      </c>
      <c r="D131" s="349">
        <f>30-C131</f>
        <v>9.400000000000006</v>
      </c>
      <c r="L131" s="106">
        <v>10</v>
      </c>
    </row>
    <row r="132" spans="1:12" s="361" customFormat="1" ht="18">
      <c r="A132" s="262" t="s">
        <v>427</v>
      </c>
      <c r="B132" s="263" t="s">
        <v>438</v>
      </c>
      <c r="C132" s="370">
        <v>0.01</v>
      </c>
      <c r="D132" s="360"/>
      <c r="L132" s="362"/>
    </row>
    <row r="133" spans="1:12" s="361" customFormat="1" ht="18">
      <c r="A133" s="262" t="s">
        <v>439</v>
      </c>
      <c r="B133" s="263" t="s">
        <v>440</v>
      </c>
      <c r="C133" s="370">
        <v>0.4</v>
      </c>
      <c r="D133" s="360"/>
      <c r="L133" s="362"/>
    </row>
    <row r="134" spans="1:12" s="361" customFormat="1" ht="18">
      <c r="A134" s="262" t="s">
        <v>441</v>
      </c>
      <c r="B134" s="263" t="s">
        <v>442</v>
      </c>
      <c r="C134" s="370">
        <v>2.1</v>
      </c>
      <c r="D134" s="360"/>
      <c r="L134" s="362"/>
    </row>
    <row r="135" spans="1:12" s="361" customFormat="1" ht="18">
      <c r="A135" s="262" t="s">
        <v>443</v>
      </c>
      <c r="B135" s="263" t="s">
        <v>444</v>
      </c>
      <c r="C135" s="370">
        <v>0.43</v>
      </c>
      <c r="D135" s="360"/>
      <c r="L135" s="362"/>
    </row>
    <row r="136" spans="1:12" s="361" customFormat="1" ht="18">
      <c r="A136" s="262" t="s">
        <v>445</v>
      </c>
      <c r="B136" s="263" t="s">
        <v>446</v>
      </c>
      <c r="C136" s="370">
        <v>3.51</v>
      </c>
      <c r="D136" s="360"/>
      <c r="L136" s="362"/>
    </row>
    <row r="137" spans="1:12" s="361" customFormat="1" ht="18">
      <c r="A137" s="262" t="s">
        <v>447</v>
      </c>
      <c r="B137" s="263" t="s">
        <v>448</v>
      </c>
      <c r="C137" s="370">
        <v>2.72</v>
      </c>
      <c r="D137" s="360"/>
      <c r="L137" s="362"/>
    </row>
    <row r="138" spans="1:12" s="361" customFormat="1" ht="18">
      <c r="A138" s="262" t="s">
        <v>449</v>
      </c>
      <c r="B138" s="263" t="s">
        <v>450</v>
      </c>
      <c r="C138" s="370">
        <v>2.42</v>
      </c>
      <c r="D138" s="360"/>
      <c r="L138" s="362"/>
    </row>
    <row r="139" spans="1:12" s="361" customFormat="1" ht="18">
      <c r="A139" s="262" t="s">
        <v>451</v>
      </c>
      <c r="B139" s="263" t="s">
        <v>452</v>
      </c>
      <c r="C139" s="370">
        <v>1.19</v>
      </c>
      <c r="D139" s="360"/>
      <c r="L139" s="362"/>
    </row>
    <row r="140" spans="1:12" s="361" customFormat="1" ht="18">
      <c r="A140" s="262" t="s">
        <v>453</v>
      </c>
      <c r="B140" s="263" t="s">
        <v>454</v>
      </c>
      <c r="C140" s="370">
        <v>6.01</v>
      </c>
      <c r="D140" s="360"/>
      <c r="L140" s="362"/>
    </row>
    <row r="141" spans="1:12" s="361" customFormat="1" ht="18">
      <c r="A141" s="167" t="s">
        <v>83</v>
      </c>
      <c r="B141" s="180" t="s">
        <v>44</v>
      </c>
      <c r="C141" s="349">
        <f>SUM(C132:C140)</f>
        <v>18.79</v>
      </c>
      <c r="D141" s="349">
        <f>31-C141</f>
        <v>12.21</v>
      </c>
      <c r="L141" s="362">
        <v>8</v>
      </c>
    </row>
    <row r="142" spans="1:13" ht="18">
      <c r="A142" s="438" t="s">
        <v>322</v>
      </c>
      <c r="B142" s="439"/>
      <c r="C142" s="314">
        <f>SUM(C10+C16+C29+C36+C46+C54)+C85+C100+C111+C120+C131+C141</f>
        <v>180.62</v>
      </c>
      <c r="D142" s="314">
        <f>SUM(D10+D16+D29+D36+D46+D54+D85)+D100+D111+D120+D131+D141</f>
        <v>185.38000000000005</v>
      </c>
      <c r="E142" s="106"/>
      <c r="F142" s="106"/>
      <c r="G142" s="106"/>
      <c r="H142" s="106"/>
      <c r="I142" s="106"/>
      <c r="J142" s="106"/>
      <c r="K142" s="106"/>
      <c r="L142" s="315">
        <f>L10+L16+L29+L36+L46+L54+L85+L100+L111+L120+L131+L141</f>
        <v>97</v>
      </c>
      <c r="M142" s="162">
        <f>C142/365</f>
        <v>0.49484931506849317</v>
      </c>
    </row>
  </sheetData>
  <sheetProtection/>
  <mergeCells count="3">
    <mergeCell ref="A2:D2"/>
    <mergeCell ref="A142:B142"/>
    <mergeCell ref="A72:D72"/>
  </mergeCells>
  <printOptions verticalCentered="1"/>
  <pageMargins left="0.11811023622047245" right="0.11811023622047245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MOVIMENTAÇÃO CARGAS-1 SEMESTR</dc:title>
  <dc:subject/>
  <dc:creator>DERSA</dc:creator>
  <cp:keywords/>
  <dc:description/>
  <cp:lastModifiedBy>carlos.carmona</cp:lastModifiedBy>
  <cp:lastPrinted>2017-01-11T15:50:15Z</cp:lastPrinted>
  <dcterms:created xsi:type="dcterms:W3CDTF">1999-02-08T11:09:12Z</dcterms:created>
  <dcterms:modified xsi:type="dcterms:W3CDTF">2018-08-06T18:39:56Z</dcterms:modified>
  <cp:category/>
  <cp:version/>
  <cp:contentType/>
  <cp:contentStatus/>
</cp:coreProperties>
</file>