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8"/>
  </bookViews>
  <sheets>
    <sheet name="resumo" sheetId="1" r:id="rId1"/>
    <sheet name="Mov. Cargas " sheetId="2" r:id="rId2"/>
    <sheet name="cargas mensal" sheetId="3" r:id="rId3"/>
    <sheet name="médias móveis cargas" sheetId="4" r:id="rId4"/>
    <sheet name="Compar. Cargas" sheetId="5" r:id="rId5"/>
    <sheet name="Export. Import." sheetId="6" r:id="rId6"/>
    <sheet name="Receitas 2015" sheetId="7" r:id="rId7"/>
    <sheet name="Compar. receitas" sheetId="8" r:id="rId8"/>
    <sheet name="berço 101" sheetId="9" r:id="rId9"/>
    <sheet name="outros berços" sheetId="10" r:id="rId10"/>
    <sheet name="Compar. berços" sheetId="11" r:id="rId11"/>
  </sheets>
  <definedNames>
    <definedName name="_xlnm.Print_Area" localSheetId="1">'Mov. Cargas '!$A$1:$O$105</definedName>
  </definedNames>
  <calcPr fullCalcOnLoad="1"/>
</workbook>
</file>

<file path=xl/sharedStrings.xml><?xml version="1.0" encoding="utf-8"?>
<sst xmlns="http://schemas.openxmlformats.org/spreadsheetml/2006/main" count="848" uniqueCount="524">
  <si>
    <t>MESES</t>
  </si>
  <si>
    <t xml:space="preserve">  J A N E I R O </t>
  </si>
  <si>
    <t xml:space="preserve"> F E V E R E I R O</t>
  </si>
  <si>
    <t xml:space="preserve">    M  A  R  Ç  O</t>
  </si>
  <si>
    <t xml:space="preserve">   A  B  R  I  L</t>
  </si>
  <si>
    <t xml:space="preserve">      M  A  I  O  </t>
  </si>
  <si>
    <t xml:space="preserve">  J  U  N  H  O  </t>
  </si>
  <si>
    <t xml:space="preserve">   TOTAL   ACUMULADO</t>
  </si>
  <si>
    <t>QTDE</t>
  </si>
  <si>
    <t>PESO</t>
  </si>
  <si>
    <t xml:space="preserve"> SUBTOTAL =====&gt;</t>
  </si>
  <si>
    <t>EXPORTAÇ/CARGA</t>
  </si>
  <si>
    <t xml:space="preserve"> </t>
  </si>
  <si>
    <t xml:space="preserve"> TOTAIS MENSAIS</t>
  </si>
  <si>
    <t>J U L H O</t>
  </si>
  <si>
    <t>A G O S T O</t>
  </si>
  <si>
    <t>JANEIRO</t>
  </si>
  <si>
    <t>FEVEREIRO</t>
  </si>
  <si>
    <t>MARÇO</t>
  </si>
  <si>
    <t>TOTAL ACUMULADO</t>
  </si>
  <si>
    <t>VEÍCULOS</t>
  </si>
  <si>
    <t>BARRILHA A GRANEL</t>
  </si>
  <si>
    <t>MALTE A GRANEL</t>
  </si>
  <si>
    <t>CEVADA A GRANEL</t>
  </si>
  <si>
    <t>IMPORTAÇÃO/DESCARGA</t>
  </si>
  <si>
    <t>EMBARC.APOIO TEBAR</t>
  </si>
  <si>
    <t>MÁQUINAS/EQUIPAMENT.</t>
  </si>
  <si>
    <t>RAÇÃO EM SACAS</t>
  </si>
  <si>
    <t>MÁQUINAS/EQUIPAM.</t>
  </si>
  <si>
    <t>ANIMAIS VIVOS</t>
  </si>
  <si>
    <t>ULEXITA A GRANEL</t>
  </si>
  <si>
    <t>SULFATO DE SÓDIO GR.</t>
  </si>
  <si>
    <t xml:space="preserve">TUBOS </t>
  </si>
  <si>
    <t>CHAPAS DE AÇO</t>
  </si>
  <si>
    <t>ÓXIDO DE ALUMÍNIO A GRANEL</t>
  </si>
  <si>
    <t>S E T E M B R O</t>
  </si>
  <si>
    <t>O U T U B R O</t>
  </si>
  <si>
    <t>N O V E M B R O</t>
  </si>
  <si>
    <t>D E Z E M B R O</t>
  </si>
  <si>
    <t>JULHO</t>
  </si>
  <si>
    <t>AGOSTO</t>
  </si>
  <si>
    <t>SETEMBRO</t>
  </si>
  <si>
    <t>OUTUBRO</t>
  </si>
  <si>
    <t>NOVEMBRO</t>
  </si>
  <si>
    <t>DEZEMBRO</t>
  </si>
  <si>
    <t>CONTEINER 40"</t>
  </si>
  <si>
    <t>BOBINAS FIO MÁQUINA</t>
  </si>
  <si>
    <t>TRILHOS DE AÇO</t>
  </si>
  <si>
    <t xml:space="preserve">Multas e Juros </t>
  </si>
  <si>
    <t>FINANCEIRAS:</t>
  </si>
  <si>
    <t>Administrativas</t>
  </si>
  <si>
    <t>Danos ao Patrimônio</t>
  </si>
  <si>
    <t>Telefonemas Terceirizad.</t>
  </si>
  <si>
    <t>RESSAR.DESPESAS:</t>
  </si>
  <si>
    <t>Balança</t>
  </si>
  <si>
    <t>Energia Elétrica</t>
  </si>
  <si>
    <t>Água</t>
  </si>
  <si>
    <t>TABELA V:</t>
  </si>
  <si>
    <t>TABELA IV</t>
  </si>
  <si>
    <t>Infra Estrutura Terrestre</t>
  </si>
  <si>
    <t>TABELA III</t>
  </si>
  <si>
    <t>Atracação</t>
  </si>
  <si>
    <t>TABELA II</t>
  </si>
  <si>
    <t>Util.Acesso Canal/Cais</t>
  </si>
  <si>
    <t>TABELA I</t>
  </si>
  <si>
    <t>TOTAL EM R$</t>
  </si>
  <si>
    <t>JUNHO</t>
  </si>
  <si>
    <t>MAIO</t>
  </si>
  <si>
    <t>ABRIL</t>
  </si>
  <si>
    <t>ÍTEM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</si>
  <si>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</si>
  <si>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</si>
  <si>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</si>
  <si>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</si>
  <si>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</si>
  <si>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</si>
  <si>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</si>
  <si>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</si>
  <si>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</si>
  <si>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</si>
  <si>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</si>
  <si>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</si>
  <si>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em  %</t>
  </si>
  <si>
    <t>TOTAL</t>
  </si>
  <si>
    <t>Exportação/ Carga</t>
  </si>
  <si>
    <t>Importação/ Descarga</t>
  </si>
  <si>
    <t>M Ê S</t>
  </si>
  <si>
    <t>Variação</t>
  </si>
  <si>
    <t xml:space="preserve">  EM TONELADAS</t>
  </si>
  <si>
    <t>EXPORTAÇÃO / IMPORTAÇÃO</t>
  </si>
  <si>
    <t>MOVIMENTAÇÃO DE CARGAS NO CAIS COMERCIAL</t>
  </si>
  <si>
    <t>QUADRO COMPARATIVO II</t>
  </si>
  <si>
    <t xml:space="preserve">T O T A L </t>
  </si>
  <si>
    <t xml:space="preserve">VARIAÇÃO </t>
  </si>
  <si>
    <t>NAVIOS LONGO CURSO E CABOTAGEM EM DIAS</t>
  </si>
  <si>
    <t>OCUPAÇÃO DEMAIS BERÇOS - PORTO S.S.</t>
  </si>
  <si>
    <t>OCUPAÇÃO DO BERÇO 101 - PORTO S.S.</t>
  </si>
  <si>
    <t>MENOR MOVIMENTAÇÃO</t>
  </si>
  <si>
    <t>MAIOR MOVIMENTAÇÃO</t>
  </si>
  <si>
    <t>LEGENDA</t>
  </si>
  <si>
    <t>MÊS</t>
  </si>
  <si>
    <t>ANO</t>
  </si>
  <si>
    <t>MOVIMENTAÇÃO DE CARGAS NO PORTO DE SÃO SEBASTIÃO</t>
  </si>
  <si>
    <t xml:space="preserve">inicial </t>
  </si>
  <si>
    <t>MÉDIA MENSAL</t>
  </si>
  <si>
    <t>TOTAL ACUMUL. 12 MESES</t>
  </si>
  <si>
    <t>PERÍODO APURADO</t>
  </si>
  <si>
    <t>MOVIMENTAÇÃO DE CARGAS NO PORTO DE SÃO SEBASTIÃO - MÉDIAS MÓVEIS</t>
  </si>
  <si>
    <t>ACUMULADO NO ANO</t>
  </si>
  <si>
    <t>EM DIAS</t>
  </si>
  <si>
    <t>OCUPAÇÃO</t>
  </si>
  <si>
    <t>ATRACADO</t>
  </si>
  <si>
    <t xml:space="preserve">N A V I O </t>
  </si>
  <si>
    <t>TEMPO (DIAS)</t>
  </si>
  <si>
    <t>PERÍODO</t>
  </si>
  <si>
    <t>NOME DO</t>
  </si>
  <si>
    <t>PERÍODOS DE OCUPAÇÃO  -  BERÇO 101  /  LONGO CURSO e CABOTAGEM</t>
  </si>
  <si>
    <t>PORTUÁRIO.</t>
  </si>
  <si>
    <t>* Não constam deste informativo, o tempo de ocupação dos berços internos com as OPERAÇÕES DE APOIO</t>
  </si>
  <si>
    <t>VARIAÇÃO %</t>
  </si>
  <si>
    <t>COMPARATIVOS E VARIAÇÕES PERCENTUAIS</t>
  </si>
  <si>
    <t>média mensal</t>
  </si>
  <si>
    <t>TOTAL GERAL</t>
  </si>
  <si>
    <t>SUBTOTAL</t>
  </si>
  <si>
    <t>Chapas de aço</t>
  </si>
  <si>
    <t>Op. Apoio</t>
  </si>
  <si>
    <t>Maquinas e Equip.</t>
  </si>
  <si>
    <t xml:space="preserve">Tubos </t>
  </si>
  <si>
    <t>Bags Quimicos</t>
  </si>
  <si>
    <t>Sacas de açucar</t>
  </si>
  <si>
    <t>Ração animal</t>
  </si>
  <si>
    <t>Animais Vivos</t>
  </si>
  <si>
    <t>Veículos</t>
  </si>
  <si>
    <t>Exportações/carregamentos</t>
  </si>
  <si>
    <t>Óxido de Alumínio granel</t>
  </si>
  <si>
    <t>Bobinas Fio Máquina</t>
  </si>
  <si>
    <t>Trilhos de Aço</t>
  </si>
  <si>
    <t>Bauxita a granel/ Bags</t>
  </si>
  <si>
    <t>Op.apoio</t>
  </si>
  <si>
    <t>Ulexita a granel</t>
  </si>
  <si>
    <t>Maquinas/Equipamentos</t>
  </si>
  <si>
    <t>Malte e Cevada granel</t>
  </si>
  <si>
    <t>Sulfato Sódio granel</t>
  </si>
  <si>
    <t>Barrilha granel</t>
  </si>
  <si>
    <t>Importações/descargas</t>
  </si>
  <si>
    <t>DADOS EM TONELADAS MOVIMENTADAS</t>
  </si>
  <si>
    <t>PORTO DE SÃO SEBASTIÃO - Quadros comparativos</t>
  </si>
  <si>
    <t xml:space="preserve">OUTRAS </t>
  </si>
  <si>
    <t>RECEITAS FINANC.</t>
  </si>
  <si>
    <r>
      <t xml:space="preserve">TAB IV </t>
    </r>
    <r>
      <rPr>
        <sz val="10"/>
        <rFont val="Arial"/>
        <family val="2"/>
      </rPr>
      <t>(Armaz. e Perm. Uso)</t>
    </r>
  </si>
  <si>
    <t>TAB III</t>
  </si>
  <si>
    <t>TAB II</t>
  </si>
  <si>
    <t>TAB I - canal/ cais</t>
  </si>
  <si>
    <t>Taxas tarifárias</t>
  </si>
  <si>
    <t>DADOS EM R$</t>
  </si>
  <si>
    <t>MÉDIA MENSAL FATURAMENTO</t>
  </si>
  <si>
    <t>Mês Atual</t>
  </si>
  <si>
    <t>Mês Anterior</t>
  </si>
  <si>
    <t>RECEITAS FATURADAS</t>
  </si>
  <si>
    <t>MÉDIA MENSAL MOV. DE CARGAS</t>
  </si>
  <si>
    <t>* cresce a ocupação do berço e reduz, numa lógica positiva, a ociosidade</t>
  </si>
  <si>
    <t>OPERACIONAL</t>
  </si>
  <si>
    <t>CONTEINER 20"</t>
  </si>
  <si>
    <t>Navios Atracados no Mês ( Berço 101 - Principal )</t>
  </si>
  <si>
    <t>Tempo de Ocupação do Cais principal em Dias</t>
  </si>
  <si>
    <t>Total de Cargas Movimentadas no Mês em tons</t>
  </si>
  <si>
    <t>Faturamento no Mês</t>
  </si>
  <si>
    <t>CONTEINER 20" CHEIOS</t>
  </si>
  <si>
    <t>CONTEINER 40" CHEIOS</t>
  </si>
  <si>
    <t>CONTAINER 40" CHEIOS</t>
  </si>
  <si>
    <t>Conteiner 20" CHEIOS</t>
  </si>
  <si>
    <t>Conteiner 40" CHEIOS</t>
  </si>
  <si>
    <t>Container 40" CHEIOS</t>
  </si>
  <si>
    <t>Jan/13 a Dez/13</t>
  </si>
  <si>
    <t xml:space="preserve">Taxas tarifárias </t>
  </si>
  <si>
    <t>Fev/13 a Jan/14</t>
  </si>
  <si>
    <t>Mar/13 a Fev/14</t>
  </si>
  <si>
    <t>Abr/13 a Mar/14</t>
  </si>
  <si>
    <t>Mai/13 a Abr/14</t>
  </si>
  <si>
    <t>SULFATO DE SÓDIO A GRANEL</t>
  </si>
  <si>
    <t>MÁQUINAS/EQUIPAMENTOS</t>
  </si>
  <si>
    <t>Jun/13 a Mai/14</t>
  </si>
  <si>
    <t>CIMENTO GRANEL (Apoio Marít.)</t>
  </si>
  <si>
    <t>Jul/13 a Jun/14</t>
  </si>
  <si>
    <t>Cimento granel (Ap. Mar.)</t>
  </si>
  <si>
    <t>APOIO PORTUÁRIO</t>
  </si>
  <si>
    <t>Ago/13 a Jul/14</t>
  </si>
  <si>
    <t>TUBOS  (Apoio Marit.)</t>
  </si>
  <si>
    <t>TUBOS (Apoio Marít.)</t>
  </si>
  <si>
    <t>Set/13 a Ago/14</t>
  </si>
  <si>
    <t>Operação Apoio Portuário</t>
  </si>
  <si>
    <t>Tubos  ( Apoio Marítimo)</t>
  </si>
  <si>
    <t>Maquinas e Equipamentos</t>
  </si>
  <si>
    <t>Out/13 a Set/14</t>
  </si>
  <si>
    <t>Nov/13 a Out/14</t>
  </si>
  <si>
    <t>NÍQUEL A GRANEL</t>
  </si>
  <si>
    <t>MÓDULOS SCHAHIN (Apoio. Marít.)</t>
  </si>
  <si>
    <t>Dez/13 a Nov/14</t>
  </si>
  <si>
    <t>Níquel a granel</t>
  </si>
  <si>
    <r>
      <t>Módulos Schahin (</t>
    </r>
    <r>
      <rPr>
        <sz val="10"/>
        <rFont val="Arial"/>
        <family val="2"/>
      </rPr>
      <t>Apo. Mar.)</t>
    </r>
  </si>
  <si>
    <t>137 - CLIPPER AURORA</t>
  </si>
  <si>
    <t>Receita Econômica 2014</t>
  </si>
  <si>
    <t>jan/14 a dez/14</t>
  </si>
  <si>
    <t>Janeiro a dezembro</t>
  </si>
  <si>
    <t>MÉDIA MENSAL MOVIMENTAÇÃO</t>
  </si>
  <si>
    <t>MÉDIA RECEITA POR TONELADA</t>
  </si>
  <si>
    <t>Armazenagem</t>
  </si>
  <si>
    <t>Permissões de Uso</t>
  </si>
  <si>
    <t>TOTAL RESSARCIMENTOS</t>
  </si>
  <si>
    <t>RECEITA OPERACIONAL BRUTA</t>
  </si>
  <si>
    <t>TOTAL ENTRADAS</t>
  </si>
  <si>
    <t xml:space="preserve">   MOVIMENTAÇÃO DE CARGAS NO PORTO DE SÃO SEBASTIÃO  -  1º  SEMESTRE 2015  ( EM TONELADAS )</t>
  </si>
  <si>
    <t xml:space="preserve">   MOVIMENTAÇÃO DE CARGAS NO PORTO DE SÃO SEBASTIÃO  -  2º  SEMESTRE 2015  ( EM TONELADAS )</t>
  </si>
  <si>
    <t>fev/14 a jan/15</t>
  </si>
  <si>
    <t>Produtos Movimentados em 2014</t>
  </si>
  <si>
    <t>RELATÓRIO DE RECEITAS FATURADAS DO PORTO DE SÃO SEBASTIÃO 2015</t>
  </si>
  <si>
    <t>Receita Econômica 2015</t>
  </si>
  <si>
    <t>NAVIOS ATRACADOS NO PORTO  -  2015</t>
  </si>
  <si>
    <t>01/01 - 00:00 H A 05/01 - 22:50 H</t>
  </si>
  <si>
    <t>001 - RAVEN ARROW</t>
  </si>
  <si>
    <t>06/01 - 01:00 H A 10/01 - 23:00 H</t>
  </si>
  <si>
    <t>002 - PINE ARROW</t>
  </si>
  <si>
    <t>11/01 - 09:24 H A 14/01 - 01:40 H</t>
  </si>
  <si>
    <t>003 - BBC SAPPHIRE</t>
  </si>
  <si>
    <t>14/01 - 02:45 H A 16/01 - 00:15 H</t>
  </si>
  <si>
    <t>PERÍODOS DE OCUPAÇÃO  -  DEMAIS BERÇOS  - APOIO MARÍTIMO</t>
  </si>
  <si>
    <t>004 R - BRAM BREEZE</t>
  </si>
  <si>
    <t>14/01 - 16:45 H A 17/01 - 01:45 H</t>
  </si>
  <si>
    <t>005 - BANGKOK HIGHWAY</t>
  </si>
  <si>
    <t>16/01 - 02:15 H A 16/01 - 18:45 H</t>
  </si>
  <si>
    <t>006 - JACAMAR ARROW</t>
  </si>
  <si>
    <t>16/01 - 20:10 H A 20/01 - 09:00 H</t>
  </si>
  <si>
    <t>007 R - E.R. TRONSOE</t>
  </si>
  <si>
    <t>20/01 - 17:15 H A 21/01 - 05:35 H</t>
  </si>
  <si>
    <t>008 - PENGUIN ARROW</t>
  </si>
  <si>
    <t>28/01 - 11:10 H A 30/01 - 11:00 H</t>
  </si>
  <si>
    <t>009 R - HAVILA FORTRESS</t>
  </si>
  <si>
    <t>29/01 - 19:00 H A 30/01 - 13:00 H</t>
  </si>
  <si>
    <t>RESUMO RELATÓRIO OPERACIONAL E DE RECEITAS FATURADAS 2015</t>
  </si>
  <si>
    <t>MOVIMENTAÇÃO 2015</t>
  </si>
  <si>
    <t>MOVIMENTAÇÃO 2015 - financeira</t>
  </si>
  <si>
    <t>MOVIMENTAÇÃO 2015 - operacional</t>
  </si>
  <si>
    <t>mar/14 a fev/15</t>
  </si>
  <si>
    <t>010 R - KAILASH</t>
  </si>
  <si>
    <t>01/02 - 09:00 H A 01/02 - 22:00 H</t>
  </si>
  <si>
    <t>011 - GRAL MANUEL BELGRANO</t>
  </si>
  <si>
    <t>02/02 - 05:30 H A 02/02 - 12:35 H</t>
  </si>
  <si>
    <t>012 R - FAR STAR</t>
  </si>
  <si>
    <t>04/02 - 07:00 H A 04/02 - 18:35 H</t>
  </si>
  <si>
    <t>013 - CEDAR ARROW</t>
  </si>
  <si>
    <t>04/02 - 20:10 H A 07/03 - 18:40 H</t>
  </si>
  <si>
    <t>014 - CANELO ARROW</t>
  </si>
  <si>
    <t>09/02 - 04:30 H A 10/02 - 21:20 H</t>
  </si>
  <si>
    <t>015 - LAWIN ARROW</t>
  </si>
  <si>
    <t>11/02 - 03:15 H A 13/02 - 15:40 H</t>
  </si>
  <si>
    <t>016 - COTINGA ARROW</t>
  </si>
  <si>
    <t>13/02 - 17:40 H A 15/02 - 12:59 H</t>
  </si>
  <si>
    <t>017 R - OLYMPIC PROMOTER</t>
  </si>
  <si>
    <t>15/02 - 17:10 H A 16/02 - 11:45 H</t>
  </si>
  <si>
    <t>018 R - SAVEIROS GAIVOTA</t>
  </si>
  <si>
    <t>20/02 - 06:35 H A 20/02 - 17:00 H</t>
  </si>
  <si>
    <t>019 R - HAVILA FORTRESS</t>
  </si>
  <si>
    <t>21/02 - 07:26 H A 22/02 - 02:25 H</t>
  </si>
  <si>
    <t>020 - QUETZAL ARROW</t>
  </si>
  <si>
    <t>19/02 - 21:00 H A 22/02 - 01:10 H</t>
  </si>
  <si>
    <t>021 R - E.R HAUGESUND</t>
  </si>
  <si>
    <t>27/02 - 17:30 H A 28/02 - 11:30 H</t>
  </si>
  <si>
    <t>022 - SAINT DIMITRIOS</t>
  </si>
  <si>
    <t>24/02 - 12:00 H A 28/02 - 24:00 H</t>
  </si>
  <si>
    <t>01/03 - 00:00 H A 01/03 - 20:30 H</t>
  </si>
  <si>
    <t>evolução anual da movimentação</t>
  </si>
  <si>
    <t>Abr/14 a Mar/15</t>
  </si>
  <si>
    <t>023 - TRITON HIGHWAY</t>
  </si>
  <si>
    <t>01/03 - 23:10 H A 03/03 - 00:55 H</t>
  </si>
  <si>
    <t>024 - GRAL MANUEL BELGRANO</t>
  </si>
  <si>
    <t>03/03 - 02:25 H A 03/03 - 12:15 H</t>
  </si>
  <si>
    <t>025 R - TOISA SERENADE</t>
  </si>
  <si>
    <t>04/03 - 19:40 H A 05/03 - 13:15 H</t>
  </si>
  <si>
    <t>026 - INDUSTRIAL MERCHAND</t>
  </si>
  <si>
    <t>06/03 - 19:30 H A 10/03 - 14:12 H</t>
  </si>
  <si>
    <t>027 - THORCO AURORA</t>
  </si>
  <si>
    <t>10/03 - 16:20 H A 11/03 - 15:00 H</t>
  </si>
  <si>
    <t>028 - TEAL ARROW</t>
  </si>
  <si>
    <t>11/03 - 17:00 H A 14/03 - 10:45 H</t>
  </si>
  <si>
    <t>029 R - BRAM BREEZE</t>
  </si>
  <si>
    <t>13/03 - 12:20 H A 14/03 - 12:00 H</t>
  </si>
  <si>
    <t>030 - TRITON HIGHWAY</t>
  </si>
  <si>
    <t>15/03 - 21:15 H A 16/03 - 19:45 H</t>
  </si>
  <si>
    <t>031 R - BRAM BUCCANEER</t>
  </si>
  <si>
    <t>17/03 - 14:07 H A 18/03 - 12:00 H</t>
  </si>
  <si>
    <t>032 - PETREL ARROW</t>
  </si>
  <si>
    <t>17/03 - 06:30 H A 20/03 - 09:30 H</t>
  </si>
  <si>
    <t>033 - BANGKOK HIGHWAY</t>
  </si>
  <si>
    <t>20/03 - 13:20 H A 21/03 - 00:20 H</t>
  </si>
  <si>
    <t>034 - GRAL MANUEL BELGRANO</t>
  </si>
  <si>
    <t>01/04 - 08:00 H A 01/04 - 12:45 H</t>
  </si>
  <si>
    <t>035 R - SIEM CARRIER</t>
  </si>
  <si>
    <t>01/04 - 07:00 H A 01/04 - 18:25 H</t>
  </si>
  <si>
    <t>036 - FALCON TRADER</t>
  </si>
  <si>
    <t>02/04 - 11:45 H A 10/04 - 00:10 H</t>
  </si>
  <si>
    <t>037 R - FAR STAR</t>
  </si>
  <si>
    <t>10/04 - 07:15 H A 10/04 - 21:00 H</t>
  </si>
  <si>
    <t>038 - ATILLA</t>
  </si>
  <si>
    <t>10/04 - 09:15 H A 15/04 - 14:20 H</t>
  </si>
  <si>
    <t>039 - TRITON HIGHWAY</t>
  </si>
  <si>
    <t>15/04 - 15:50 H A 16/04 - 03:50 H</t>
  </si>
  <si>
    <t>040 - MAITACA ARROW</t>
  </si>
  <si>
    <t>16/04 - 06:05 H A 18/04 - 18:59 H</t>
  </si>
  <si>
    <t>041 R - E.R. HAUGESUND</t>
  </si>
  <si>
    <t>16/04 - 13:05 H A 16/04 - 23:30 H</t>
  </si>
  <si>
    <t>042 R - TOISA SERENADE</t>
  </si>
  <si>
    <t>17/04 - 13:00 H A 18/04 - 14:00 H</t>
  </si>
  <si>
    <t>043 R - OLYMPIC PROMOTER</t>
  </si>
  <si>
    <t>20/04 - 07:00 H A 21/04 - 01:50 H</t>
  </si>
  <si>
    <t>044 - OSPREY ARROW</t>
  </si>
  <si>
    <t>23/04 - 04:35 H A 25/04 - 11:00 H</t>
  </si>
  <si>
    <t>045 R - E.R. TRONSOE</t>
  </si>
  <si>
    <t>27/04 - 07:30 H A 27/04 - 18:00 H</t>
  </si>
  <si>
    <t>046 - GRAL MANUEL BELGRANO</t>
  </si>
  <si>
    <t>30/04 - 23:45 H A 30/04 - 23:59 H</t>
  </si>
  <si>
    <t>Mai/14 a Abr/15</t>
  </si>
  <si>
    <t>Jun/14 a Mai/15</t>
  </si>
  <si>
    <t>047 R - E.R. HAUGESUND</t>
  </si>
  <si>
    <t>04/05 - 07:00 H A 04/05 - 18:05 H</t>
  </si>
  <si>
    <t>048 - TRITON HIGHWAY</t>
  </si>
  <si>
    <t>03/05 - 20:50 H A 04/05 - 06:59 H</t>
  </si>
  <si>
    <t>049 R - SAVEIROS GAIVOTA</t>
  </si>
  <si>
    <t>05/05 - 07:27 H A 06/05 - 14:15 H</t>
  </si>
  <si>
    <t>050 - ANSAC KATHRYN</t>
  </si>
  <si>
    <t>05/05 - 16:20 H A 07/05 - 10:07 H</t>
  </si>
  <si>
    <t>051 - DA XIN</t>
  </si>
  <si>
    <t>10/05 - 00:20 H A 11/05 - 16:40 H</t>
  </si>
  <si>
    <t>052 - FINCH ARROW</t>
  </si>
  <si>
    <t>11/05 - 18:40 H A 14/05 - 03:40 H</t>
  </si>
  <si>
    <t>053 R - HAVILA FORTRESS</t>
  </si>
  <si>
    <t>15/05 - 07:15 H A 16/05 - 02:35 H</t>
  </si>
  <si>
    <t>054 - CYPRESS ARROW</t>
  </si>
  <si>
    <t>14/05 - 05:50 H A 16/05 - 13:00 H</t>
  </si>
  <si>
    <t>055 - TRITON HIGHWAY</t>
  </si>
  <si>
    <t>20/05 - 23:33 H A 21/05 - 10:15 H</t>
  </si>
  <si>
    <t>056 - BANGKOK HIGHWAY</t>
  </si>
  <si>
    <t>21/05 - 11:50 H A 22/05 - 05:10 H</t>
  </si>
  <si>
    <t>057 - BBC PARANÁ</t>
  </si>
  <si>
    <t>22/05 - 11:15 H A 23/05 - 00:37 H</t>
  </si>
  <si>
    <t>058 R - SAVEIROS FRAGATA</t>
  </si>
  <si>
    <t>24/05 - 07:40 H A 25/05 - 12:40 H</t>
  </si>
  <si>
    <t>059 - PANTANAL</t>
  </si>
  <si>
    <t>25/05 - 02:10 H A 26/05 - 09:00 H</t>
  </si>
  <si>
    <t>060 R - BRAM BREEZE</t>
  </si>
  <si>
    <t>27/05 - 09:50 H A 30/05 - 00:20 H</t>
  </si>
  <si>
    <t>061 - SAGA FRAM</t>
  </si>
  <si>
    <t>28/05 - 03:10 H A 30/05 - 12:59 H</t>
  </si>
  <si>
    <t>062 R - KAIALASH</t>
  </si>
  <si>
    <t>30/05 - 02:00 H A 30/05 - 20:00 H</t>
  </si>
  <si>
    <t>063 R - BRAM BUCCANEER</t>
  </si>
  <si>
    <t>31/05 - 13:05 H A 31/05 - 24:00 H</t>
  </si>
  <si>
    <t>Jul/14 a Jun/15</t>
  </si>
  <si>
    <t>01/06 - 00:00 H A 03/06 - 00:10 H</t>
  </si>
  <si>
    <t>064 R - TOISA SERENADE</t>
  </si>
  <si>
    <t>03/06 - 01:50 H A 04/06 - 00:20 H</t>
  </si>
  <si>
    <t>065 - LOWLANDS SCHELDT</t>
  </si>
  <si>
    <t>03/06 - 16:15 H A 09/06 - 14:30 H</t>
  </si>
  <si>
    <t>066 - MOZU ARROW</t>
  </si>
  <si>
    <t>09/06 - 20:00 H A 11/06 - 22:10 H</t>
  </si>
  <si>
    <t>067 - BOI BRANCO</t>
  </si>
  <si>
    <t>15/06 - 19:00 H A 16/06 - 19:30 H</t>
  </si>
  <si>
    <t>068 R - E.R. HAUGESUND</t>
  </si>
  <si>
    <t>15/06 - 20:30 H A 16/06 - 12:59 H</t>
  </si>
  <si>
    <t>069 - TRITON HIGHWAY</t>
  </si>
  <si>
    <t>18/06 - 01:55 H A 18/06 - 15:30 H</t>
  </si>
  <si>
    <t>070 - TAWA ARROW</t>
  </si>
  <si>
    <t>30/06 - 11:30 H A 30/06 - 24:00 H</t>
  </si>
  <si>
    <t>ago/14 a jul/15</t>
  </si>
  <si>
    <t>TAB V (balanç.+agua/luz)</t>
  </si>
  <si>
    <t>01/07 - 00:00 H A 01/07 - 19:00 H</t>
  </si>
  <si>
    <t>071 - TRITON HIGHWAY</t>
  </si>
  <si>
    <t>01/07 - 21:55 H A 02/07 - 18:25 H</t>
  </si>
  <si>
    <t>072- CONDOR ARROW</t>
  </si>
  <si>
    <t>02/07 - 21:00 H A 04/07 - 03:20 H</t>
  </si>
  <si>
    <t>073 - GRAL MANUEL BELGRANO</t>
  </si>
  <si>
    <t>07/07 - 17:35 H A 07/07 - 23:50 H</t>
  </si>
  <si>
    <t>074 - CMB CHARLOTTE</t>
  </si>
  <si>
    <t>08/07 - 01:20 H A 14/07 - 13;30 H</t>
  </si>
  <si>
    <t>077 - BANGKOK HIGHWAY</t>
  </si>
  <si>
    <t>19/07 - 21:10 H A 20/07 - 18:35 H</t>
  </si>
  <si>
    <t>078 - PINE ARROW</t>
  </si>
  <si>
    <t>21/07 - 07:00 H A 23/07 - 18:59 H</t>
  </si>
  <si>
    <t>080 - TRITON HIGHWAY</t>
  </si>
  <si>
    <t>081 - HC MELINA</t>
  </si>
  <si>
    <t>27/07 - 09:55 H A 27/07 - 18:59 H</t>
  </si>
  <si>
    <t>27/07 - 23:17 H A 29/07 - 15:10 H</t>
  </si>
  <si>
    <t>075 R - BRAM BREEZE</t>
  </si>
  <si>
    <t>14/07 - 13:00 H A 16/07 - 14:00 H</t>
  </si>
  <si>
    <t>076 R - E.R. TRONSOE</t>
  </si>
  <si>
    <t>17/07 - 13:00 H A 18/07 - 00:10 H</t>
  </si>
  <si>
    <t>079 R - SIEM CARRIER</t>
  </si>
  <si>
    <t>23/07 - 09:00 H A 24/07 - 18:25 H</t>
  </si>
  <si>
    <t>082 R - HAVILA FORTRESS</t>
  </si>
  <si>
    <t>28/07 - 13:00 H A 29/07 - 12:00 H</t>
  </si>
  <si>
    <t>083 R - OLYMPIC PROMOTER</t>
  </si>
  <si>
    <t>30/07 - 13:30 H A 31/07 - 05:00 H</t>
  </si>
  <si>
    <t>CHAPAS DE AÇO/ AMARRADOS</t>
  </si>
  <si>
    <t>CONTAINER 20" CHEIOS</t>
  </si>
  <si>
    <t>set/14 a Ago/15</t>
  </si>
  <si>
    <t>Chapas de Aço/Amarrados</t>
  </si>
  <si>
    <t>Container 20" CHEIOS</t>
  </si>
  <si>
    <t>084 - PING AN SONG</t>
  </si>
  <si>
    <t>03/08 - 05:10 H A 06/08 - 12:59 H</t>
  </si>
  <si>
    <t>085 - GRAL MANUEL BELGRANO</t>
  </si>
  <si>
    <t>06/08 - 15:15 H A 07/08 - 02:30 H</t>
  </si>
  <si>
    <t>086 R - TOISA SERENADE</t>
  </si>
  <si>
    <t>07/08 - 09:40 H A 08/08 - 12:00 H</t>
  </si>
  <si>
    <t>087 - PORTLAND BAY</t>
  </si>
  <si>
    <t>07/08 - 05:30 H A 11/08 - 19:50 H</t>
  </si>
  <si>
    <t>088 - TRUST STAR</t>
  </si>
  <si>
    <t>11/08 - 21:15 H A 13/08 - 23:20 H</t>
  </si>
  <si>
    <t>089 - TRITON HIGHWAY</t>
  </si>
  <si>
    <t>14/08 - 01:00 H A 14/08 - 12:50 H</t>
  </si>
  <si>
    <t>090 - HR ENDEAVOUR</t>
  </si>
  <si>
    <t>14/08 - 14:15 H A 18/08 - 18:15 H</t>
  </si>
  <si>
    <t>091 R - E.R. TROMSOE</t>
  </si>
  <si>
    <t>17/08 - 13:40 H A 18/08 - 03:15 H</t>
  </si>
  <si>
    <t>092 R - FAR STAR</t>
  </si>
  <si>
    <t>18/08 - 13:00 H A 19/08 - 02:10 H</t>
  </si>
  <si>
    <t>093 R - SAVEIROS FRAGATA</t>
  </si>
  <si>
    <t>20/08 - 09:35 H A 21/08 - 18:30 H</t>
  </si>
  <si>
    <t>094 - BBC AFRICA</t>
  </si>
  <si>
    <t>19/08 - 21:25 H A 23/08 - 06:25 H</t>
  </si>
  <si>
    <t>095 - TEAL ARROW</t>
  </si>
  <si>
    <t>23/08 - 08:10 H A 26/08 - 00:48 H</t>
  </si>
  <si>
    <t>096 R - BRAM BUCCANEER</t>
  </si>
  <si>
    <t>26/08 - 13:40 H A 28/08 - 02:00 H</t>
  </si>
  <si>
    <t>097 - TRITON HIGHWAY</t>
  </si>
  <si>
    <t>31/08 - 08:00 H A 31/08 - 12:40 H</t>
  </si>
  <si>
    <t>098 - PING AN SONG</t>
  </si>
  <si>
    <t>31/08 - 14:20 H A 31/08 - 24:00 H</t>
  </si>
  <si>
    <t>out/14 a set/15</t>
  </si>
  <si>
    <t>01/09 - 00:00 H A 02/09 - 21:50 H</t>
  </si>
  <si>
    <t>099 - ATLANTIC LAUREL</t>
  </si>
  <si>
    <t>03/09 - 06:27 H A 04/09 - 12:10 H</t>
  </si>
  <si>
    <t>100 - GRAL MANUEL BELGRANO</t>
  </si>
  <si>
    <t>04/09 - 18:05 H A 04/09 - 23:14 H</t>
  </si>
  <si>
    <t>101 - BOSPORUS HIGHWAY</t>
  </si>
  <si>
    <t xml:space="preserve">06/09 - 22:45 H A 07/09 - 14:30 H </t>
  </si>
  <si>
    <t>102 - TEAM TANGO</t>
  </si>
  <si>
    <t>08/09 - 09:00 H A 16/09 - 06:10 H</t>
  </si>
  <si>
    <t>103 - INVENTANA</t>
  </si>
  <si>
    <t>16/09 - 08:55 H A 19/09 - 12:15 H</t>
  </si>
  <si>
    <t>104 - BANGKOK HIGHWAY</t>
  </si>
  <si>
    <t>19/09 - 16:00 H A 20/09 - 07:30 H</t>
  </si>
  <si>
    <t>105 - CORESHIP OL</t>
  </si>
  <si>
    <t>21/09 - 01:35 H A 24/09 - 10:38 H</t>
  </si>
  <si>
    <t>106 - TRITON HIGHWAY</t>
  </si>
  <si>
    <t>28/09 - 17:50 H A 29/09 - 03:05 H</t>
  </si>
  <si>
    <t>OPERAÇÕES DE APOIO MARÍTIMO</t>
  </si>
  <si>
    <t>nov/14 a out/15</t>
  </si>
  <si>
    <t>107 - GRAL MANUEL BELGRANO</t>
  </si>
  <si>
    <t>04/10 - 16:20 H A 05/10 - 02:16 H</t>
  </si>
  <si>
    <t>108 - BANGKOK HIGHWAY</t>
  </si>
  <si>
    <t>06/10 - 17:00 H A 07/10 - 06:55 H</t>
  </si>
  <si>
    <t>109 - QUEEN SAPHIRE</t>
  </si>
  <si>
    <t>08/10 - 08:40 H A 10/10 - 12:35 H</t>
  </si>
  <si>
    <t>110 - KING KORN</t>
  </si>
  <si>
    <t>12/10 - 07:30 H A 20/10 - 13:20 H</t>
  </si>
  <si>
    <t>111- BOSPORUS HIGHWAY</t>
  </si>
  <si>
    <t>20/10 - 13:50 H A 21/10 - 01:35 H</t>
  </si>
  <si>
    <t>112 - COLORADO HIGHWAY</t>
  </si>
  <si>
    <t>21/10 - 21:15 H A 22/10 - 06:00 H</t>
  </si>
  <si>
    <t>113 - BBC EMERALD</t>
  </si>
  <si>
    <t>23/10 - 12:05 H A 26/10 - 16:10 H</t>
  </si>
  <si>
    <t>114 - TOKI ARROW</t>
  </si>
  <si>
    <t xml:space="preserve">27/10 - 07:00 H A 29/10 - 12:35 H </t>
  </si>
  <si>
    <t>115 - GRAL MANUEL BELGRANO</t>
  </si>
  <si>
    <t>29/10 - 13:40 H A 29/10 - 22:50 H</t>
  </si>
  <si>
    <t>116 - AEGEAN HIGHWAY</t>
  </si>
  <si>
    <t>30/10 - 00:10 H A 31/10 - 08:10 H</t>
  </si>
  <si>
    <t>TEMPO VAGO</t>
  </si>
  <si>
    <t>No mês de outubro, apenas durante 4 dias o berço 101 permaneceu vago por todas as 24 horas.</t>
  </si>
  <si>
    <t>O resultado de 11,69 dias de "tempo vago" é decorrente do somatório de "horas vagas" convertidas em dias.</t>
  </si>
  <si>
    <t>O tempo de ocupação dos berços é calculado em função do somatório de horas de permanência das embarcações, desde a chegada ao Porto e até sua desatra-</t>
  </si>
  <si>
    <t>cação, convertido em dias.</t>
  </si>
  <si>
    <t>Navios Atracados no Mês-demais berços-ap.mar.</t>
  </si>
  <si>
    <r>
      <t>Tempo Vago</t>
    </r>
    <r>
      <rPr>
        <b/>
        <sz val="12"/>
        <color indexed="62"/>
        <rFont val="Calibri"/>
        <family val="2"/>
      </rPr>
      <t xml:space="preserve"> </t>
    </r>
    <r>
      <rPr>
        <sz val="12"/>
        <color indexed="8"/>
        <rFont val="Calibri"/>
        <family val="2"/>
      </rPr>
      <t>do Cais principal em Dias</t>
    </r>
  </si>
  <si>
    <t>Receita Econômica NOVEMBRO/2015</t>
  </si>
  <si>
    <t>117 - AVIATOR</t>
  </si>
  <si>
    <t>03/11 - 06:30 H A 05/11 - 23:10 H</t>
  </si>
  <si>
    <t>118 - BOSPORUS HIGHWAY</t>
  </si>
  <si>
    <t>07/11 - 19:15 H A 08/11 - 02:30 H</t>
  </si>
  <si>
    <t>119 - BANGKOK HIGHWAY</t>
  </si>
  <si>
    <t>22/11 - 04:25 H A 22/11 - 16:20 H</t>
  </si>
  <si>
    <t>120 - OCEAN DIAMOND</t>
  </si>
  <si>
    <t>23/11 - 08:23 H A 30/11 - 21:50 H</t>
  </si>
  <si>
    <t>dez/14 a nov/15</t>
  </si>
  <si>
    <t>Produtos Movimentados NOVEMBRO/2015</t>
  </si>
  <si>
    <t>novembro</t>
  </si>
  <si>
    <t>Receita Econômica DEZEMBRO/2014</t>
  </si>
  <si>
    <t>Receita Econômica DEZEMBRO/2015</t>
  </si>
  <si>
    <t>Receita últimos 12 meses (JAN/2015  a DEZ/2015)</t>
  </si>
  <si>
    <t>PERIODO DE JANEIRO DE 2005 A DEZEMBRO DE 2015</t>
  </si>
  <si>
    <t>Jan/15 a dez/15</t>
  </si>
  <si>
    <t>Produtos Movimentados em 2015</t>
  </si>
  <si>
    <t>Produtos Movimentados DEZEMBRO/2014</t>
  </si>
  <si>
    <t>Produtos Movimentados DEZEMBRO/2015</t>
  </si>
  <si>
    <t>Mov. últimos 12 meses (JAN/15 a DEZ/2015)</t>
  </si>
  <si>
    <t>121 - TRITON HIGHWAY</t>
  </si>
  <si>
    <t>01/12 - 02:45 H A 01/12 - 15:15 H</t>
  </si>
  <si>
    <t>122 - ATLANTIC VENUS</t>
  </si>
  <si>
    <t>01/12 - 16:30 H A 04/12 - 03:10 H</t>
  </si>
  <si>
    <t>123 - GRAL MANUEL BELGRANO</t>
  </si>
  <si>
    <t>04/12 - 04:45 H A 04/12 - 13:50 H</t>
  </si>
  <si>
    <t>11/12 - 01:45 H A 16/12 - 17:07 H</t>
  </si>
  <si>
    <t>125 - BANGKOK HIGHWAY</t>
  </si>
  <si>
    <t>17/12 - 06:00 H A 19/12 - 21:40 H</t>
  </si>
  <si>
    <t>127 - MU MIAN SONG</t>
  </si>
  <si>
    <t>22/12 - 04:25 H A 22/12 - 12:59 H</t>
  </si>
  <si>
    <t>26/12 - 23:25 H A 28/12 - 03:00 H</t>
  </si>
  <si>
    <t>124 - QUETZAL ARROW</t>
  </si>
  <si>
    <t>16/12 - 18:30 H A 17/12 - 01:15 H</t>
  </si>
  <si>
    <t>126 - INTERLINK ACTIVITY</t>
  </si>
  <si>
    <t>20/12 - 01:10 H A 20/12 - 22:30 H</t>
  </si>
  <si>
    <t>128 - BOSPORUS HIGHWAY</t>
  </si>
  <si>
    <t>129 - ROCKIES HIGHWAY</t>
  </si>
  <si>
    <t>CAIS COMERCIAL - Mês: DEZEMBRO</t>
  </si>
  <si>
    <t>dezembro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</si>
</sst>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_(* #,##0.000_);_(* \(#,##0.000\);_(* &quot;-&quot;??_);_(@_)"/>
    <numFmt numFmtId="183" formatCode="_(* #,##0_);_(* \(#,##0\);_(* &quot;-&quot;??_);_(@_)"/>
    <numFmt numFmtId="184" formatCode="#,##0.000"/>
    <numFmt numFmtId="185" formatCode="_(* #,##0.000_);_(* \(#,##0.000\);_(* &quot;-&quot;???_);_(@_)"/>
    <numFmt numFmtId="186" formatCode="#,##0.000_);\(#,##0.000\)"/>
    <numFmt numFmtId="187" formatCode="_-* #,##0.000\ _€_-;\-* #,##0.000\ _€_-;_-* &quot;-&quot;???\ _€_-;_-@_-"/>
    <numFmt numFmtId="188" formatCode="[$-816]dddd\,\ d&quot; de &quot;mmmm&quot; de &quot;yyyy"/>
    <numFmt numFmtId="189" formatCode="0.0"/>
    <numFmt numFmtId="190" formatCode="_(* #,##0.0_);_(* \(#,##0.0\);_(* &quot;-&quot;??_);_(@_)"/>
    <numFmt numFmtId="191" formatCode="[$-416]dddd\,\ d&quot; de &quot;mmmm&quot; de &quot;yyyy"/>
    <numFmt numFmtId="192" formatCode="[$-F400]h:mm:ss\ AM/PM"/>
    <numFmt numFmtId="193" formatCode="_-* #,##0.000_-;\-* #,##0.000_-;_-* &quot;-&quot;???_-;_-@_-"/>
    <numFmt numFmtId="194" formatCode="dd\-mmm\-yy"/>
    <numFmt numFmtId="195" formatCode="0.0000"/>
    <numFmt numFmtId="196" formatCode="_-* #,##0.00000\ _€_-;\-* #,##0.00000\ _€_-;_-* &quot;-&quot;???\ _€_-;_-@_-"/>
    <numFmt numFmtId="197" formatCode="_-* #,##0.0000\ _€_-;\-* #,##0.0000\ _€_-;_-* &quot;-&quot;???\ _€_-;_-@_-"/>
    <numFmt numFmtId="198" formatCode="_(* #,##0.0000_);_(* \(#,##0.0000\);_(* &quot;-&quot;???_);_(@_)"/>
    <numFmt numFmtId="199" formatCode="_(* #,##0.0000_);_(* \(#,##0.000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0.00000"/>
    <numFmt numFmtId="203" formatCode="_-[$R$-416]\ * #,##0.00_-;\-[$R$-416]\ * #,##0.00_-;_-[$R$-416]\ * &quot;-&quot;??_-;_-@_-"/>
    <numFmt numFmtId="204" formatCode="_-* #,##0.000_-;\-* #,##0.000_-;_-* &quot;-&quot;??_-;_-@_-"/>
    <numFmt numFmtId="205" formatCode="_-* #,##0.0000_-;\-* #,##0.0000_-;_-* &quot;-&quot;??_-;_-@_-"/>
    <numFmt numFmtId="206" formatCode="_-* #,##0_-;\-* #,##0_-;_-* &quot;-&quot;??_-;_-@_-"/>
    <numFmt numFmtId="207" formatCode="0.000%"/>
    <numFmt numFmtId="208" formatCode="0.000"/>
    <numFmt numFmtId="209" formatCode="0.000000"/>
    <numFmt numFmtId="210" formatCode="0.0000000"/>
    <numFmt numFmtId="211" formatCode="0.00000000"/>
    <numFmt numFmtId="212" formatCode="0.0%"/>
    <numFmt numFmtId="213" formatCode="#,##0.0"/>
    <numFmt numFmtId="214" formatCode="_-&quot;R$&quot;\ * #,##0.000_-;\-&quot;R$&quot;\ * #,##0.000_-;_-&quot;R$&quot;\ * &quot;-&quot;??_-;_-@_-"/>
    <numFmt numFmtId="215" formatCode="_-&quot;R$&quot;\ * #,##0.000_-;\-&quot;R$&quot;\ * #,##0.000_-;_-&quot;R$&quot;\ * &quot;-&quot;???_-;_-@_-"/>
    <numFmt numFmtId="216" formatCode="&quot;R$&quot;\ #,##0.00"/>
    <numFmt numFmtId="217" formatCode="_-&quot;R$&quot;\ * #,##0.0_-;\-&quot;R$&quot;\ * #,##0.0_-;_-&quot;R$&quot;\ * &quot;-&quot;??_-;_-@_-"/>
    <numFmt numFmtId="218" formatCode="_-&quot;R$&quot;\ * #,##0_-;\-&quot;R$&quot;\ * #,##0_-;_-&quot;R$&quot;\ * &quot;-&quot;??_-;_-@_-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4"/>
      <color indexed="10"/>
      <name val="Arial Narrow"/>
      <family val="2"/>
    </font>
    <font>
      <sz val="14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b/>
      <sz val="14"/>
      <color rgb="FFC00000"/>
      <name val="Arial Narrow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Arial Narrow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8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184" fontId="1" fillId="0" borderId="12" xfId="0" applyNumberFormat="1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5" xfId="0" applyFont="1" applyFill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182" fontId="0" fillId="0" borderId="17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 horizontal="right"/>
    </xf>
    <xf numFmtId="182" fontId="0" fillId="33" borderId="17" xfId="51" applyNumberFormat="1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 horizontal="right"/>
    </xf>
    <xf numFmtId="18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84" fontId="1" fillId="0" borderId="10" xfId="0" applyNumberFormat="1" applyFont="1" applyBorder="1" applyAlignment="1">
      <alignment horizontal="right"/>
    </xf>
    <xf numFmtId="183" fontId="0" fillId="0" borderId="17" xfId="51" applyNumberFormat="1" applyFont="1" applyBorder="1" applyAlignment="1">
      <alignment horizontal="right"/>
    </xf>
    <xf numFmtId="183" fontId="0" fillId="0" borderId="0" xfId="51" applyNumberFormat="1" applyFont="1" applyBorder="1" applyAlignment="1">
      <alignment horizontal="right"/>
    </xf>
    <xf numFmtId="182" fontId="0" fillId="0" borderId="17" xfId="0" applyNumberFormat="1" applyFont="1" applyBorder="1" applyAlignment="1">
      <alignment/>
    </xf>
    <xf numFmtId="182" fontId="0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 horizontal="left"/>
    </xf>
    <xf numFmtId="183" fontId="0" fillId="0" borderId="17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183" fontId="0" fillId="0" borderId="21" xfId="51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2" fontId="0" fillId="0" borderId="17" xfId="51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71" fontId="0" fillId="0" borderId="17" xfId="51" applyFont="1" applyBorder="1" applyAlignment="1">
      <alignment/>
    </xf>
    <xf numFmtId="171" fontId="0" fillId="0" borderId="0" xfId="51" applyFont="1" applyBorder="1" applyAlignment="1">
      <alignment horizontal="right"/>
    </xf>
    <xf numFmtId="171" fontId="0" fillId="0" borderId="17" xfId="51" applyFont="1" applyBorder="1" applyAlignment="1">
      <alignment horizontal="right"/>
    </xf>
    <xf numFmtId="171" fontId="0" fillId="33" borderId="17" xfId="51" applyFont="1" applyFill="1" applyBorder="1" applyAlignment="1">
      <alignment horizontal="right"/>
    </xf>
    <xf numFmtId="183" fontId="0" fillId="0" borderId="17" xfId="51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183" fontId="0" fillId="33" borderId="17" xfId="51" applyNumberFormat="1" applyFont="1" applyFill="1" applyBorder="1" applyAlignment="1">
      <alignment/>
    </xf>
    <xf numFmtId="183" fontId="0" fillId="33" borderId="17" xfId="51" applyNumberFormat="1" applyFont="1" applyFill="1" applyBorder="1" applyAlignment="1">
      <alignment horizontal="right"/>
    </xf>
    <xf numFmtId="37" fontId="0" fillId="0" borderId="0" xfId="51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center"/>
    </xf>
    <xf numFmtId="183" fontId="0" fillId="33" borderId="0" xfId="51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82" fontId="0" fillId="0" borderId="0" xfId="51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0" fillId="0" borderId="22" xfId="51" applyNumberFormat="1" applyFont="1" applyBorder="1" applyAlignment="1">
      <alignment horizontal="right"/>
    </xf>
    <xf numFmtId="182" fontId="0" fillId="0" borderId="23" xfId="0" applyNumberFormat="1" applyFont="1" applyBorder="1" applyAlignment="1">
      <alignment horizontal="right"/>
    </xf>
    <xf numFmtId="182" fontId="0" fillId="0" borderId="22" xfId="0" applyNumberFormat="1" applyFont="1" applyBorder="1" applyAlignment="1">
      <alignment horizontal="right"/>
    </xf>
    <xf numFmtId="182" fontId="0" fillId="0" borderId="0" xfId="51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3" fontId="1" fillId="13" borderId="20" xfId="51" applyNumberFormat="1" applyFont="1" applyFill="1" applyBorder="1" applyAlignment="1">
      <alignment horizontal="right"/>
    </xf>
    <xf numFmtId="182" fontId="1" fillId="13" borderId="20" xfId="0" applyNumberFormat="1" applyFont="1" applyFill="1" applyBorder="1" applyAlignment="1">
      <alignment horizontal="right"/>
    </xf>
    <xf numFmtId="183" fontId="1" fillId="35" borderId="10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 horizontal="right"/>
    </xf>
    <xf numFmtId="182" fontId="1" fillId="35" borderId="10" xfId="51" applyNumberFormat="1" applyFont="1" applyFill="1" applyBorder="1" applyAlignment="1">
      <alignment horizontal="right"/>
    </xf>
    <xf numFmtId="183" fontId="1" fillId="35" borderId="12" xfId="51" applyNumberFormat="1" applyFont="1" applyFill="1" applyBorder="1" applyAlignment="1">
      <alignment horizontal="right"/>
    </xf>
    <xf numFmtId="182" fontId="1" fillId="35" borderId="10" xfId="0" applyNumberFormat="1" applyFont="1" applyFill="1" applyBorder="1" applyAlignment="1">
      <alignment/>
    </xf>
    <xf numFmtId="182" fontId="1" fillId="35" borderId="10" xfId="51" applyNumberFormat="1" applyFont="1" applyFill="1" applyBorder="1" applyAlignment="1">
      <alignment/>
    </xf>
    <xf numFmtId="183" fontId="76" fillId="13" borderId="20" xfId="51" applyNumberFormat="1" applyFont="1" applyFill="1" applyBorder="1" applyAlignment="1">
      <alignment horizontal="right"/>
    </xf>
    <xf numFmtId="182" fontId="76" fillId="13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1" fontId="0" fillId="0" borderId="24" xfId="51" applyFont="1" applyFill="1" applyBorder="1" applyAlignment="1">
      <alignment/>
    </xf>
    <xf numFmtId="0" fontId="0" fillId="0" borderId="24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justify"/>
    </xf>
    <xf numFmtId="4" fontId="0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2" fontId="9" fillId="0" borderId="0" xfId="51" applyNumberFormat="1" applyFont="1" applyFill="1" applyAlignment="1">
      <alignment/>
    </xf>
    <xf numFmtId="182" fontId="9" fillId="0" borderId="0" xfId="51" applyNumberFormat="1" applyFont="1" applyAlignment="1">
      <alignment/>
    </xf>
    <xf numFmtId="182" fontId="10" fillId="0" borderId="0" xfId="51" applyNumberFormat="1" applyFont="1" applyAlignment="1">
      <alignment/>
    </xf>
    <xf numFmtId="171" fontId="9" fillId="0" borderId="0" xfId="0" applyNumberFormat="1" applyFont="1" applyAlignment="1">
      <alignment/>
    </xf>
    <xf numFmtId="182" fontId="7" fillId="0" borderId="10" xfId="51" applyNumberFormat="1" applyFont="1" applyFill="1" applyBorder="1" applyAlignment="1">
      <alignment/>
    </xf>
    <xf numFmtId="182" fontId="7" fillId="33" borderId="10" xfId="51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1" fontId="11" fillId="0" borderId="0" xfId="51" applyFont="1" applyFill="1" applyAlignment="1">
      <alignment/>
    </xf>
    <xf numFmtId="182" fontId="7" fillId="29" borderId="17" xfId="51" applyNumberFormat="1" applyFont="1" applyFill="1" applyBorder="1" applyAlignment="1">
      <alignment/>
    </xf>
    <xf numFmtId="182" fontId="11" fillId="0" borderId="0" xfId="51" applyNumberFormat="1" applyFont="1" applyAlignment="1">
      <alignment/>
    </xf>
    <xf numFmtId="195" fontId="9" fillId="0" borderId="0" xfId="0" applyNumberFormat="1" applyFont="1" applyAlignment="1">
      <alignment/>
    </xf>
    <xf numFmtId="182" fontId="11" fillId="0" borderId="17" xfId="51" applyNumberFormat="1" applyFont="1" applyBorder="1" applyAlignment="1">
      <alignment/>
    </xf>
    <xf numFmtId="182" fontId="11" fillId="0" borderId="0" xfId="51" applyNumberFormat="1" applyFont="1" applyFill="1" applyAlignment="1">
      <alignment/>
    </xf>
    <xf numFmtId="196" fontId="9" fillId="0" borderId="0" xfId="0" applyNumberFormat="1" applyFont="1" applyAlignment="1">
      <alignment/>
    </xf>
    <xf numFmtId="193" fontId="7" fillId="29" borderId="17" xfId="0" applyNumberFormat="1" applyFont="1" applyFill="1" applyBorder="1" applyAlignment="1">
      <alignment/>
    </xf>
    <xf numFmtId="197" fontId="9" fillId="0" borderId="0" xfId="0" applyNumberFormat="1" applyFont="1" applyAlignment="1">
      <alignment/>
    </xf>
    <xf numFmtId="185" fontId="7" fillId="29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198" fontId="10" fillId="0" borderId="0" xfId="0" applyNumberFormat="1" applyFont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33" borderId="17" xfId="0" applyFont="1" applyFill="1" applyBorder="1" applyAlignment="1">
      <alignment/>
    </xf>
    <xf numFmtId="0" fontId="11" fillId="0" borderId="0" xfId="0" applyFont="1" applyAlignment="1">
      <alignment/>
    </xf>
    <xf numFmtId="0" fontId="7" fillId="0" borderId="2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194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1" fontId="15" fillId="0" borderId="0" xfId="0" applyNumberFormat="1" applyFont="1" applyAlignment="1">
      <alignment/>
    </xf>
    <xf numFmtId="17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10" fontId="16" fillId="0" borderId="10" xfId="49" applyNumberFormat="1" applyFont="1" applyBorder="1" applyAlignment="1">
      <alignment horizontal="center"/>
    </xf>
    <xf numFmtId="171" fontId="17" fillId="0" borderId="17" xfId="51" applyNumberFormat="1" applyFont="1" applyBorder="1" applyAlignment="1">
      <alignment horizontal="left" indent="1"/>
    </xf>
    <xf numFmtId="171" fontId="17" fillId="0" borderId="17" xfId="51" applyFont="1" applyBorder="1" applyAlignment="1">
      <alignment/>
    </xf>
    <xf numFmtId="0" fontId="17" fillId="0" borderId="17" xfId="0" applyFont="1" applyBorder="1" applyAlignment="1">
      <alignment horizontal="justify"/>
    </xf>
    <xf numFmtId="10" fontId="17" fillId="0" borderId="17" xfId="49" applyNumberFormat="1" applyFont="1" applyBorder="1" applyAlignment="1">
      <alignment horizontal="center"/>
    </xf>
    <xf numFmtId="199" fontId="14" fillId="0" borderId="0" xfId="0" applyNumberFormat="1" applyFont="1" applyAlignment="1">
      <alignment/>
    </xf>
    <xf numFmtId="171" fontId="15" fillId="0" borderId="0" xfId="51" applyNumberFormat="1" applyFont="1" applyBorder="1" applyAlignment="1">
      <alignment horizontal="left" indent="1"/>
    </xf>
    <xf numFmtId="200" fontId="14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201" fontId="22" fillId="0" borderId="0" xfId="0" applyNumberFormat="1" applyFont="1" applyAlignment="1">
      <alignment/>
    </xf>
    <xf numFmtId="201" fontId="21" fillId="37" borderId="10" xfId="0" applyNumberFormat="1" applyFont="1" applyFill="1" applyBorder="1" applyAlignment="1">
      <alignment horizontal="center"/>
    </xf>
    <xf numFmtId="0" fontId="21" fillId="37" borderId="25" xfId="0" applyFont="1" applyFill="1" applyBorder="1" applyAlignment="1">
      <alignment horizontal="center"/>
    </xf>
    <xf numFmtId="182" fontId="23" fillId="0" borderId="0" xfId="51" applyNumberFormat="1" applyFont="1" applyFill="1" applyAlignment="1">
      <alignment/>
    </xf>
    <xf numFmtId="182" fontId="23" fillId="13" borderId="0" xfId="51" applyNumberFormat="1" applyFont="1" applyFill="1" applyAlignment="1">
      <alignment/>
    </xf>
    <xf numFmtId="182" fontId="23" fillId="0" borderId="0" xfId="51" applyNumberFormat="1" applyFont="1" applyAlignment="1">
      <alignment/>
    </xf>
    <xf numFmtId="201" fontId="23" fillId="0" borderId="0" xfId="0" applyNumberFormat="1" applyFont="1" applyFill="1" applyBorder="1" applyAlignment="1">
      <alignment horizontal="center"/>
    </xf>
    <xf numFmtId="201" fontId="23" fillId="38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2" fontId="23" fillId="39" borderId="0" xfId="51" applyNumberFormat="1" applyFont="1" applyFill="1" applyAlignment="1">
      <alignment/>
    </xf>
    <xf numFmtId="201" fontId="23" fillId="13" borderId="0" xfId="0" applyNumberFormat="1" applyFont="1" applyFill="1" applyBorder="1" applyAlignment="1">
      <alignment horizontal="center"/>
    </xf>
    <xf numFmtId="185" fontId="23" fillId="13" borderId="0" xfId="0" applyNumberFormat="1" applyFont="1" applyFill="1" applyBorder="1" applyAlignment="1">
      <alignment horizontal="center"/>
    </xf>
    <xf numFmtId="185" fontId="23" fillId="40" borderId="0" xfId="0" applyNumberFormat="1" applyFont="1" applyFill="1" applyBorder="1" applyAlignment="1">
      <alignment horizontal="center"/>
    </xf>
    <xf numFmtId="185" fontId="23" fillId="0" borderId="0" xfId="0" applyNumberFormat="1" applyFont="1" applyFill="1" applyBorder="1" applyAlignment="1">
      <alignment horizontal="center"/>
    </xf>
    <xf numFmtId="182" fontId="23" fillId="38" borderId="0" xfId="51" applyNumberFormat="1" applyFont="1" applyFill="1" applyAlignment="1">
      <alignment/>
    </xf>
    <xf numFmtId="201" fontId="23" fillId="39" borderId="0" xfId="0" applyNumberFormat="1" applyFont="1" applyFill="1" applyBorder="1" applyAlignment="1">
      <alignment horizontal="center"/>
    </xf>
    <xf numFmtId="182" fontId="23" fillId="0" borderId="0" xfId="51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82" fontId="5" fillId="0" borderId="0" xfId="51" applyNumberFormat="1" applyFont="1" applyAlignment="1">
      <alignment/>
    </xf>
    <xf numFmtId="182" fontId="11" fillId="0" borderId="10" xfId="51" applyNumberFormat="1" applyFont="1" applyBorder="1" applyAlignment="1">
      <alignment/>
    </xf>
    <xf numFmtId="19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71" fontId="11" fillId="0" borderId="10" xfId="51" applyFont="1" applyFill="1" applyBorder="1" applyAlignment="1">
      <alignment horizontal="right"/>
    </xf>
    <xf numFmtId="0" fontId="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4" fontId="24" fillId="35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16" borderId="23" xfId="0" applyNumberFormat="1" applyFont="1" applyFill="1" applyBorder="1" applyAlignment="1">
      <alignment horizontal="center"/>
    </xf>
    <xf numFmtId="4" fontId="20" fillId="16" borderId="17" xfId="0" applyNumberFormat="1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4" fontId="20" fillId="16" borderId="14" xfId="0" applyNumberFormat="1" applyFont="1" applyFill="1" applyBorder="1" applyAlignment="1">
      <alignment horizontal="center"/>
    </xf>
    <xf numFmtId="4" fontId="20" fillId="16" borderId="21" xfId="0" applyNumberFormat="1" applyFont="1" applyFill="1" applyBorder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4" fillId="35" borderId="15" xfId="0" applyFont="1" applyFill="1" applyBorder="1" applyAlignment="1">
      <alignment horizontal="right"/>
    </xf>
    <xf numFmtId="4" fontId="20" fillId="16" borderId="20" xfId="0" applyNumberFormat="1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01" fontId="0" fillId="0" borderId="0" xfId="0" applyNumberFormat="1" applyFont="1" applyAlignment="1">
      <alignment/>
    </xf>
    <xf numFmtId="0" fontId="75" fillId="0" borderId="0" xfId="0" applyFont="1" applyAlignment="1">
      <alignment/>
    </xf>
    <xf numFmtId="187" fontId="69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78" fillId="0" borderId="0" xfId="0" applyFont="1" applyAlignment="1">
      <alignment/>
    </xf>
    <xf numFmtId="0" fontId="75" fillId="7" borderId="27" xfId="0" applyFont="1" applyFill="1" applyBorder="1" applyAlignment="1">
      <alignment/>
    </xf>
    <xf numFmtId="0" fontId="79" fillId="0" borderId="0" xfId="0" applyFont="1" applyAlignment="1">
      <alignment/>
    </xf>
    <xf numFmtId="199" fontId="59" fillId="0" borderId="0" xfId="51" applyNumberFormat="1" applyFont="1" applyAlignment="1">
      <alignment/>
    </xf>
    <xf numFmtId="0" fontId="75" fillId="39" borderId="0" xfId="0" applyFont="1" applyFill="1" applyBorder="1" applyAlignment="1">
      <alignment horizontal="center"/>
    </xf>
    <xf numFmtId="185" fontId="49" fillId="2" borderId="10" xfId="0" applyNumberFormat="1" applyFont="1" applyFill="1" applyBorder="1" applyAlignment="1">
      <alignment/>
    </xf>
    <xf numFmtId="0" fontId="27" fillId="2" borderId="10" xfId="0" applyFont="1" applyFill="1" applyBorder="1" applyAlignment="1">
      <alignment/>
    </xf>
    <xf numFmtId="185" fontId="49" fillId="13" borderId="10" xfId="0" applyNumberFormat="1" applyFont="1" applyFill="1" applyBorder="1" applyAlignment="1">
      <alignment/>
    </xf>
    <xf numFmtId="0" fontId="27" fillId="13" borderId="10" xfId="0" applyFont="1" applyFill="1" applyBorder="1" applyAlignment="1">
      <alignment/>
    </xf>
    <xf numFmtId="185" fontId="0" fillId="0" borderId="0" xfId="0" applyNumberFormat="1" applyAlignment="1">
      <alignment/>
    </xf>
    <xf numFmtId="182" fontId="27" fillId="7" borderId="20" xfId="0" applyNumberFormat="1" applyFont="1" applyFill="1" applyBorder="1" applyAlignment="1">
      <alignment/>
    </xf>
    <xf numFmtId="0" fontId="10" fillId="7" borderId="20" xfId="0" applyFont="1" applyFill="1" applyBorder="1" applyAlignment="1">
      <alignment/>
    </xf>
    <xf numFmtId="182" fontId="28" fillId="39" borderId="20" xfId="51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182" fontId="28" fillId="39" borderId="10" xfId="51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82" fontId="28" fillId="39" borderId="10" xfId="51" applyNumberFormat="1" applyFont="1" applyFill="1" applyBorder="1" applyAlignment="1">
      <alignment horizontal="right"/>
    </xf>
    <xf numFmtId="182" fontId="28" fillId="39" borderId="10" xfId="51" applyNumberFormat="1" applyFont="1" applyFill="1" applyBorder="1" applyAlignment="1">
      <alignment/>
    </xf>
    <xf numFmtId="184" fontId="27" fillId="7" borderId="20" xfId="0" applyNumberFormat="1" applyFont="1" applyFill="1" applyBorder="1" applyAlignment="1">
      <alignment/>
    </xf>
    <xf numFmtId="182" fontId="28" fillId="0" borderId="20" xfId="51" applyNumberFormat="1" applyFont="1" applyFill="1" applyBorder="1" applyAlignment="1">
      <alignment/>
    </xf>
    <xf numFmtId="182" fontId="28" fillId="0" borderId="10" xfId="51" applyNumberFormat="1" applyFont="1" applyFill="1" applyBorder="1" applyAlignment="1">
      <alignment/>
    </xf>
    <xf numFmtId="182" fontId="28" fillId="0" borderId="10" xfId="51" applyNumberFormat="1" applyFont="1" applyBorder="1" applyAlignment="1">
      <alignment/>
    </xf>
    <xf numFmtId="182" fontId="28" fillId="0" borderId="10" xfId="51" applyNumberFormat="1" applyFont="1" applyBorder="1" applyAlignment="1">
      <alignment horizontal="center"/>
    </xf>
    <xf numFmtId="171" fontId="59" fillId="0" borderId="0" xfId="51" applyFont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75" fillId="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28" fillId="0" borderId="0" xfId="51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203" fontId="0" fillId="0" borderId="0" xfId="0" applyNumberFormat="1" applyAlignment="1">
      <alignment/>
    </xf>
    <xf numFmtId="4" fontId="80" fillId="41" borderId="10" xfId="0" applyNumberFormat="1" applyFont="1" applyFill="1" applyBorder="1" applyAlignment="1">
      <alignment/>
    </xf>
    <xf numFmtId="0" fontId="27" fillId="41" borderId="10" xfId="0" applyFont="1" applyFill="1" applyBorder="1" applyAlignment="1">
      <alignment/>
    </xf>
    <xf numFmtId="4" fontId="27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171" fontId="28" fillId="0" borderId="10" xfId="51" applyNumberFormat="1" applyFont="1" applyBorder="1" applyAlignment="1">
      <alignment/>
    </xf>
    <xf numFmtId="171" fontId="28" fillId="0" borderId="10" xfId="51" applyFont="1" applyBorder="1" applyAlignment="1">
      <alignment horizontal="center"/>
    </xf>
    <xf numFmtId="171" fontId="28" fillId="0" borderId="10" xfId="51" applyFont="1" applyBorder="1" applyAlignment="1">
      <alignment/>
    </xf>
    <xf numFmtId="44" fontId="81" fillId="16" borderId="10" xfId="0" applyNumberFormat="1" applyFont="1" applyFill="1" applyBorder="1" applyAlignment="1">
      <alignment/>
    </xf>
    <xf numFmtId="0" fontId="81" fillId="16" borderId="10" xfId="0" applyFont="1" applyFill="1" applyBorder="1" applyAlignment="1">
      <alignment horizontal="right"/>
    </xf>
    <xf numFmtId="44" fontId="81" fillId="7" borderId="15" xfId="45" applyNumberFormat="1" applyFont="1" applyFill="1" applyBorder="1" applyAlignment="1">
      <alignment/>
    </xf>
    <xf numFmtId="0" fontId="79" fillId="7" borderId="16" xfId="0" applyFont="1" applyFill="1" applyBorder="1" applyAlignment="1">
      <alignment horizontal="center"/>
    </xf>
    <xf numFmtId="0" fontId="79" fillId="7" borderId="10" xfId="0" applyFont="1" applyFill="1" applyBorder="1" applyAlignment="1">
      <alignment/>
    </xf>
    <xf numFmtId="0" fontId="82" fillId="0" borderId="10" xfId="0" applyFont="1" applyBorder="1" applyAlignment="1">
      <alignment horizontal="center"/>
    </xf>
    <xf numFmtId="204" fontId="81" fillId="16" borderId="10" xfId="51" applyNumberFormat="1" applyFont="1" applyFill="1" applyBorder="1" applyAlignment="1">
      <alignment/>
    </xf>
    <xf numFmtId="205" fontId="79" fillId="0" borderId="0" xfId="51" applyNumberFormat="1" applyFont="1" applyAlignment="1">
      <alignment/>
    </xf>
    <xf numFmtId="0" fontId="79" fillId="7" borderId="19" xfId="0" applyFont="1" applyFill="1" applyBorder="1" applyAlignment="1">
      <alignment horizontal="center"/>
    </xf>
    <xf numFmtId="204" fontId="79" fillId="7" borderId="18" xfId="51" applyNumberFormat="1" applyFont="1" applyFill="1" applyBorder="1" applyAlignment="1">
      <alignment/>
    </xf>
    <xf numFmtId="0" fontId="79" fillId="7" borderId="20" xfId="0" applyFont="1" applyFill="1" applyBorder="1" applyAlignment="1">
      <alignment/>
    </xf>
    <xf numFmtId="0" fontId="79" fillId="0" borderId="22" xfId="0" applyFont="1" applyFill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17" xfId="0" applyFont="1" applyBorder="1" applyAlignment="1">
      <alignment/>
    </xf>
    <xf numFmtId="0" fontId="79" fillId="7" borderId="22" xfId="0" applyFont="1" applyFill="1" applyBorder="1" applyAlignment="1">
      <alignment horizontal="center"/>
    </xf>
    <xf numFmtId="0" fontId="79" fillId="7" borderId="17" xfId="0" applyFont="1" applyFill="1" applyBorder="1" applyAlignment="1">
      <alignment/>
    </xf>
    <xf numFmtId="206" fontId="79" fillId="0" borderId="0" xfId="51" applyNumberFormat="1" applyFont="1" applyFill="1" applyBorder="1" applyAlignment="1">
      <alignment horizontal="right"/>
    </xf>
    <xf numFmtId="0" fontId="79" fillId="7" borderId="13" xfId="0" applyFont="1" applyFill="1" applyBorder="1" applyAlignment="1">
      <alignment horizontal="center"/>
    </xf>
    <xf numFmtId="206" fontId="79" fillId="7" borderId="11" xfId="51" applyNumberFormat="1" applyFont="1" applyFill="1" applyBorder="1" applyAlignment="1">
      <alignment/>
    </xf>
    <xf numFmtId="205" fontId="79" fillId="0" borderId="0" xfId="0" applyNumberFormat="1" applyFont="1" applyAlignment="1">
      <alignment/>
    </xf>
    <xf numFmtId="0" fontId="79" fillId="0" borderId="0" xfId="0" applyNumberFormat="1" applyFont="1" applyAlignment="1">
      <alignment/>
    </xf>
    <xf numFmtId="0" fontId="80" fillId="0" borderId="0" xfId="0" applyFont="1" applyAlignment="1">
      <alignment/>
    </xf>
    <xf numFmtId="17" fontId="80" fillId="0" borderId="0" xfId="0" applyNumberFormat="1" applyFont="1" applyFill="1" applyAlignment="1">
      <alignment/>
    </xf>
    <xf numFmtId="182" fontId="0" fillId="0" borderId="0" xfId="51" applyNumberFormat="1" applyFont="1" applyAlignment="1">
      <alignment/>
    </xf>
    <xf numFmtId="0" fontId="1" fillId="0" borderId="0" xfId="0" applyFont="1" applyAlignment="1">
      <alignment/>
    </xf>
    <xf numFmtId="195" fontId="79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199" fontId="0" fillId="0" borderId="0" xfId="51" applyNumberFormat="1" applyFont="1" applyAlignment="1">
      <alignment/>
    </xf>
    <xf numFmtId="211" fontId="0" fillId="0" borderId="0" xfId="0" applyNumberFormat="1" applyAlignment="1">
      <alignment/>
    </xf>
    <xf numFmtId="10" fontId="27" fillId="0" borderId="20" xfId="0" applyNumberFormat="1" applyFont="1" applyBorder="1" applyAlignment="1">
      <alignment/>
    </xf>
    <xf numFmtId="206" fontId="79" fillId="7" borderId="14" xfId="51" applyNumberFormat="1" applyFont="1" applyFill="1" applyBorder="1" applyAlignment="1">
      <alignment horizontal="center"/>
    </xf>
    <xf numFmtId="206" fontId="79" fillId="0" borderId="23" xfId="51" applyNumberFormat="1" applyFont="1" applyBorder="1" applyAlignment="1">
      <alignment horizontal="center"/>
    </xf>
    <xf numFmtId="43" fontId="79" fillId="7" borderId="23" xfId="51" applyNumberFormat="1" applyFont="1" applyFill="1" applyBorder="1" applyAlignment="1">
      <alignment horizontal="center"/>
    </xf>
    <xf numFmtId="43" fontId="79" fillId="0" borderId="23" xfId="51" applyNumberFormat="1" applyFont="1" applyBorder="1" applyAlignment="1">
      <alignment horizontal="center"/>
    </xf>
    <xf numFmtId="204" fontId="81" fillId="7" borderId="28" xfId="51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" fontId="20" fillId="0" borderId="15" xfId="0" applyNumberFormat="1" applyFont="1" applyFill="1" applyBorder="1" applyAlignment="1">
      <alignment horizontal="center"/>
    </xf>
    <xf numFmtId="199" fontId="14" fillId="0" borderId="0" xfId="51" applyNumberFormat="1" applyFont="1" applyAlignment="1">
      <alignment/>
    </xf>
    <xf numFmtId="4" fontId="24" fillId="39" borderId="10" xfId="0" applyNumberFormat="1" applyFont="1" applyFill="1" applyBorder="1" applyAlignment="1">
      <alignment/>
    </xf>
    <xf numFmtId="195" fontId="14" fillId="0" borderId="0" xfId="0" applyNumberFormat="1" applyFont="1" applyAlignment="1">
      <alignment/>
    </xf>
    <xf numFmtId="10" fontId="17" fillId="0" borderId="17" xfId="51" applyNumberFormat="1" applyFont="1" applyBorder="1" applyAlignment="1">
      <alignment horizontal="center"/>
    </xf>
    <xf numFmtId="171" fontId="0" fillId="0" borderId="0" xfId="51" applyFont="1" applyFill="1" applyBorder="1" applyAlignment="1">
      <alignment/>
    </xf>
    <xf numFmtId="171" fontId="78" fillId="0" borderId="0" xfId="51" applyFont="1" applyAlignment="1">
      <alignment/>
    </xf>
    <xf numFmtId="183" fontId="0" fillId="0" borderId="0" xfId="0" applyNumberFormat="1" applyFont="1" applyBorder="1" applyAlignment="1">
      <alignment/>
    </xf>
    <xf numFmtId="182" fontId="0" fillId="0" borderId="17" xfId="51" applyNumberFormat="1" applyFont="1" applyFill="1" applyBorder="1" applyAlignment="1">
      <alignment horizontal="right"/>
    </xf>
    <xf numFmtId="183" fontId="0" fillId="0" borderId="0" xfId="51" applyNumberFormat="1" applyFont="1" applyFill="1" applyBorder="1" applyAlignment="1">
      <alignment horizontal="right"/>
    </xf>
    <xf numFmtId="187" fontId="5" fillId="0" borderId="0" xfId="0" applyNumberFormat="1" applyFont="1" applyBorder="1" applyAlignment="1">
      <alignment/>
    </xf>
    <xf numFmtId="182" fontId="0" fillId="39" borderId="17" xfId="51" applyNumberFormat="1" applyFont="1" applyFill="1" applyBorder="1" applyAlignment="1">
      <alignment horizontal="right"/>
    </xf>
    <xf numFmtId="0" fontId="24" fillId="35" borderId="10" xfId="0" applyFont="1" applyFill="1" applyBorder="1" applyAlignment="1">
      <alignment/>
    </xf>
    <xf numFmtId="0" fontId="20" fillId="39" borderId="10" xfId="0" applyFont="1" applyFill="1" applyBorder="1" applyAlignment="1">
      <alignment horizontal="left"/>
    </xf>
    <xf numFmtId="0" fontId="20" fillId="39" borderId="15" xfId="0" applyFont="1" applyFill="1" applyBorder="1" applyAlignment="1">
      <alignment horizontal="center"/>
    </xf>
    <xf numFmtId="4" fontId="20" fillId="39" borderId="10" xfId="0" applyNumberFormat="1" applyFont="1" applyFill="1" applyBorder="1" applyAlignment="1">
      <alignment/>
    </xf>
    <xf numFmtId="0" fontId="79" fillId="39" borderId="22" xfId="0" applyFont="1" applyFill="1" applyBorder="1" applyAlignment="1">
      <alignment horizontal="center"/>
    </xf>
    <xf numFmtId="2" fontId="79" fillId="0" borderId="0" xfId="0" applyNumberFormat="1" applyFont="1" applyAlignment="1">
      <alignment/>
    </xf>
    <xf numFmtId="193" fontId="0" fillId="0" borderId="0" xfId="0" applyNumberFormat="1" applyFont="1" applyBorder="1" applyAlignment="1">
      <alignment/>
    </xf>
    <xf numFmtId="182" fontId="11" fillId="0" borderId="0" xfId="51" applyNumberFormat="1" applyFont="1" applyBorder="1" applyAlignment="1">
      <alignment/>
    </xf>
    <xf numFmtId="10" fontId="27" fillId="0" borderId="20" xfId="0" applyNumberFormat="1" applyFont="1" applyBorder="1" applyAlignment="1">
      <alignment horizontal="right"/>
    </xf>
    <xf numFmtId="182" fontId="0" fillId="39" borderId="17" xfId="0" applyNumberFormat="1" applyFont="1" applyFill="1" applyBorder="1" applyAlignment="1">
      <alignment/>
    </xf>
    <xf numFmtId="182" fontId="0" fillId="39" borderId="17" xfId="0" applyNumberFormat="1" applyFont="1" applyFill="1" applyBorder="1" applyAlignment="1">
      <alignment horizontal="right"/>
    </xf>
    <xf numFmtId="171" fontId="0" fillId="39" borderId="0" xfId="51" applyFont="1" applyFill="1" applyBorder="1" applyAlignment="1">
      <alignment horizontal="right"/>
    </xf>
    <xf numFmtId="183" fontId="0" fillId="39" borderId="0" xfId="51" applyNumberFormat="1" applyFont="1" applyFill="1" applyBorder="1" applyAlignment="1">
      <alignment horizontal="right"/>
    </xf>
    <xf numFmtId="183" fontId="0" fillId="39" borderId="17" xfId="51" applyNumberFormat="1" applyFont="1" applyFill="1" applyBorder="1" applyAlignment="1">
      <alignment/>
    </xf>
    <xf numFmtId="208" fontId="11" fillId="0" borderId="0" xfId="0" applyNumberFormat="1" applyFont="1" applyAlignment="1">
      <alignment/>
    </xf>
    <xf numFmtId="0" fontId="81" fillId="16" borderId="10" xfId="0" applyFont="1" applyFill="1" applyBorder="1" applyAlignment="1">
      <alignment/>
    </xf>
    <xf numFmtId="216" fontId="81" fillId="16" borderId="10" xfId="0" applyNumberFormat="1" applyFont="1" applyFill="1" applyBorder="1" applyAlignment="1">
      <alignment/>
    </xf>
    <xf numFmtId="0" fontId="1" fillId="42" borderId="24" xfId="0" applyFont="1" applyFill="1" applyBorder="1" applyAlignment="1">
      <alignment/>
    </xf>
    <xf numFmtId="171" fontId="1" fillId="42" borderId="24" xfId="5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42" borderId="24" xfId="0" applyFont="1" applyFill="1" applyBorder="1" applyAlignment="1">
      <alignment horizontal="center"/>
    </xf>
    <xf numFmtId="171" fontId="1" fillId="42" borderId="24" xfId="51" applyFont="1" applyFill="1" applyBorder="1" applyAlignment="1">
      <alignment horizontal="right"/>
    </xf>
    <xf numFmtId="182" fontId="21" fillId="0" borderId="10" xfId="51" applyNumberFormat="1" applyFont="1" applyBorder="1" applyAlignment="1">
      <alignment/>
    </xf>
    <xf numFmtId="10" fontId="7" fillId="0" borderId="17" xfId="49" applyNumberFormat="1" applyFont="1" applyFill="1" applyBorder="1" applyAlignment="1">
      <alignment horizontal="right"/>
    </xf>
    <xf numFmtId="171" fontId="1" fillId="42" borderId="10" xfId="0" applyNumberFormat="1" applyFont="1" applyFill="1" applyBorder="1" applyAlignment="1">
      <alignment/>
    </xf>
    <xf numFmtId="0" fontId="17" fillId="0" borderId="21" xfId="0" applyFont="1" applyBorder="1" applyAlignment="1">
      <alignment/>
    </xf>
    <xf numFmtId="171" fontId="28" fillId="0" borderId="24" xfId="51" applyFont="1" applyFill="1" applyBorder="1" applyAlignment="1">
      <alignment/>
    </xf>
    <xf numFmtId="180" fontId="70" fillId="39" borderId="0" xfId="54" applyNumberFormat="1" applyFill="1" applyBorder="1" applyAlignment="1">
      <alignment/>
    </xf>
    <xf numFmtId="182" fontId="23" fillId="38" borderId="0" xfId="51" applyNumberFormat="1" applyFont="1" applyFill="1" applyBorder="1" applyAlignment="1">
      <alignment horizontal="center"/>
    </xf>
    <xf numFmtId="182" fontId="11" fillId="0" borderId="10" xfId="51" applyNumberFormat="1" applyFont="1" applyFill="1" applyBorder="1" applyAlignment="1">
      <alignment/>
    </xf>
    <xf numFmtId="182" fontId="28" fillId="0" borderId="10" xfId="51" applyNumberFormat="1" applyFont="1" applyBorder="1" applyAlignment="1">
      <alignment/>
    </xf>
    <xf numFmtId="182" fontId="27" fillId="7" borderId="10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0" fontId="53" fillId="0" borderId="22" xfId="49" applyNumberFormat="1" applyFont="1" applyBorder="1" applyAlignment="1">
      <alignment/>
    </xf>
    <xf numFmtId="10" fontId="53" fillId="7" borderId="22" xfId="49" applyNumberFormat="1" applyFont="1" applyFill="1" applyBorder="1" applyAlignment="1">
      <alignment/>
    </xf>
    <xf numFmtId="10" fontId="53" fillId="7" borderId="19" xfId="49" applyNumberFormat="1" applyFont="1" applyFill="1" applyBorder="1" applyAlignment="1">
      <alignment/>
    </xf>
    <xf numFmtId="183" fontId="81" fillId="16" borderId="10" xfId="51" applyNumberFormat="1" applyFont="1" applyFill="1" applyBorder="1" applyAlignment="1">
      <alignment/>
    </xf>
    <xf numFmtId="185" fontId="7" fillId="19" borderId="17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182" fontId="7" fillId="19" borderId="17" xfId="51" applyNumberFormat="1" applyFont="1" applyFill="1" applyBorder="1" applyAlignment="1">
      <alignment/>
    </xf>
    <xf numFmtId="182" fontId="7" fillId="19" borderId="1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182" fontId="11" fillId="39" borderId="20" xfId="51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71" fontId="28" fillId="0" borderId="10" xfId="51" applyFont="1" applyBorder="1" applyAlignment="1">
      <alignment/>
    </xf>
    <xf numFmtId="0" fontId="16" fillId="0" borderId="10" xfId="0" applyFont="1" applyBorder="1" applyAlignment="1">
      <alignment/>
    </xf>
    <xf numFmtId="205" fontId="14" fillId="0" borderId="0" xfId="0" applyNumberFormat="1" applyFont="1" applyAlignment="1">
      <alignment/>
    </xf>
    <xf numFmtId="182" fontId="81" fillId="7" borderId="15" xfId="51" applyNumberFormat="1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2" fontId="79" fillId="7" borderId="0" xfId="0" applyNumberFormat="1" applyFont="1" applyFill="1" applyAlignment="1">
      <alignment/>
    </xf>
    <xf numFmtId="43" fontId="79" fillId="0" borderId="0" xfId="0" applyNumberFormat="1" applyFont="1" applyAlignment="1">
      <alignment/>
    </xf>
    <xf numFmtId="171" fontId="0" fillId="39" borderId="17" xfId="51" applyFont="1" applyFill="1" applyBorder="1" applyAlignment="1">
      <alignment horizontal="right"/>
    </xf>
    <xf numFmtId="183" fontId="0" fillId="39" borderId="17" xfId="51" applyNumberFormat="1" applyFont="1" applyFill="1" applyBorder="1" applyAlignment="1">
      <alignment horizontal="right"/>
    </xf>
    <xf numFmtId="182" fontId="0" fillId="39" borderId="22" xfId="51" applyNumberFormat="1" applyFont="1" applyFill="1" applyBorder="1" applyAlignment="1">
      <alignment horizontal="right"/>
    </xf>
    <xf numFmtId="183" fontId="0" fillId="39" borderId="21" xfId="51" applyNumberFormat="1" applyFont="1" applyFill="1" applyBorder="1" applyAlignment="1">
      <alignment horizontal="right"/>
    </xf>
    <xf numFmtId="182" fontId="0" fillId="39" borderId="23" xfId="0" applyNumberFormat="1" applyFont="1" applyFill="1" applyBorder="1" applyAlignment="1">
      <alignment horizontal="right"/>
    </xf>
    <xf numFmtId="182" fontId="0" fillId="39" borderId="17" xfId="51" applyNumberFormat="1" applyFont="1" applyFill="1" applyBorder="1" applyAlignment="1">
      <alignment/>
    </xf>
    <xf numFmtId="182" fontId="0" fillId="39" borderId="22" xfId="0" applyNumberFormat="1" applyFont="1" applyFill="1" applyBorder="1" applyAlignment="1">
      <alignment horizontal="right"/>
    </xf>
    <xf numFmtId="183" fontId="0" fillId="39" borderId="17" xfId="0" applyNumberFormat="1" applyFont="1" applyFill="1" applyBorder="1" applyAlignment="1">
      <alignment/>
    </xf>
    <xf numFmtId="171" fontId="0" fillId="39" borderId="17" xfId="51" applyFont="1" applyFill="1" applyBorder="1" applyAlignment="1">
      <alignment/>
    </xf>
    <xf numFmtId="182" fontId="0" fillId="39" borderId="0" xfId="0" applyNumberFormat="1" applyFont="1" applyFill="1" applyBorder="1" applyAlignment="1">
      <alignment/>
    </xf>
    <xf numFmtId="202" fontId="5" fillId="0" borderId="0" xfId="0" applyNumberFormat="1" applyFont="1" applyAlignment="1">
      <alignment/>
    </xf>
    <xf numFmtId="4" fontId="12" fillId="16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0" fontId="7" fillId="0" borderId="17" xfId="51" applyNumberFormat="1" applyFont="1" applyFill="1" applyBorder="1" applyAlignment="1">
      <alignment horizontal="right"/>
    </xf>
    <xf numFmtId="216" fontId="79" fillId="7" borderId="15" xfId="45" applyNumberFormat="1" applyFont="1" applyFill="1" applyBorder="1" applyAlignment="1">
      <alignment/>
    </xf>
    <xf numFmtId="10" fontId="53" fillId="7" borderId="10" xfId="49" applyNumberFormat="1" applyFont="1" applyFill="1" applyBorder="1" applyAlignment="1">
      <alignment/>
    </xf>
    <xf numFmtId="10" fontId="7" fillId="0" borderId="17" xfId="49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208" fontId="79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203" fontId="0" fillId="0" borderId="0" xfId="45" applyNumberFormat="1" applyFont="1" applyAlignment="1">
      <alignment/>
    </xf>
    <xf numFmtId="171" fontId="11" fillId="0" borderId="0" xfId="51" applyFont="1" applyAlignment="1">
      <alignment/>
    </xf>
    <xf numFmtId="171" fontId="53" fillId="0" borderId="22" xfId="51" applyFont="1" applyBorder="1" applyAlignment="1">
      <alignment/>
    </xf>
    <xf numFmtId="39" fontId="29" fillId="36" borderId="0" xfId="0" applyNumberFormat="1" applyFont="1" applyFill="1" applyAlignment="1">
      <alignment horizontal="center"/>
    </xf>
    <xf numFmtId="182" fontId="11" fillId="0" borderId="20" xfId="51" applyNumberFormat="1" applyFont="1" applyBorder="1" applyAlignment="1">
      <alignment/>
    </xf>
    <xf numFmtId="182" fontId="7" fillId="19" borderId="20" xfId="51" applyNumberFormat="1" applyFont="1" applyFill="1" applyBorder="1" applyAlignment="1">
      <alignment/>
    </xf>
    <xf numFmtId="10" fontId="7" fillId="43" borderId="17" xfId="49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71" fontId="17" fillId="0" borderId="20" xfId="51" applyFont="1" applyBorder="1" applyAlignment="1">
      <alignment/>
    </xf>
    <xf numFmtId="0" fontId="82" fillId="0" borderId="16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1" fillId="16" borderId="0" xfId="0" applyNumberFormat="1" applyFont="1" applyFill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37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82" fontId="84" fillId="0" borderId="0" xfId="51" applyNumberFormat="1" applyFont="1" applyFill="1" applyBorder="1" applyAlignment="1">
      <alignment/>
    </xf>
    <xf numFmtId="0" fontId="21" fillId="37" borderId="22" xfId="0" applyFont="1" applyFill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194" fontId="10" fillId="0" borderId="0" xfId="51" applyNumberFormat="1" applyFont="1" applyAlignment="1">
      <alignment horizontal="center"/>
    </xf>
    <xf numFmtId="182" fontId="10" fillId="0" borderId="0" xfId="5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4" fontId="10" fillId="0" borderId="0" xfId="51" applyNumberFormat="1" applyFont="1" applyAlignment="1">
      <alignment horizontal="center"/>
    </xf>
    <xf numFmtId="0" fontId="75" fillId="13" borderId="25" xfId="0" applyFont="1" applyFill="1" applyBorder="1" applyAlignment="1">
      <alignment horizontal="center"/>
    </xf>
    <xf numFmtId="0" fontId="75" fillId="13" borderId="32" xfId="0" applyFont="1" applyFill="1" applyBorder="1" applyAlignment="1">
      <alignment horizontal="center"/>
    </xf>
    <xf numFmtId="0" fontId="75" fillId="13" borderId="33" xfId="0" applyFont="1" applyFill="1" applyBorder="1" applyAlignment="1">
      <alignment horizontal="center"/>
    </xf>
    <xf numFmtId="0" fontId="81" fillId="7" borderId="34" xfId="0" applyFont="1" applyFill="1" applyBorder="1" applyAlignment="1">
      <alignment horizontal="center"/>
    </xf>
    <xf numFmtId="0" fontId="81" fillId="7" borderId="35" xfId="0" applyFont="1" applyFill="1" applyBorder="1" applyAlignment="1">
      <alignment horizontal="center"/>
    </xf>
    <xf numFmtId="182" fontId="78" fillId="0" borderId="16" xfId="51" applyNumberFormat="1" applyFont="1" applyBorder="1" applyAlignment="1">
      <alignment horizontal="center"/>
    </xf>
    <xf numFmtId="182" fontId="78" fillId="0" borderId="15" xfId="51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75" fillId="13" borderId="10" xfId="0" applyFont="1" applyFill="1" applyBorder="1" applyAlignment="1">
      <alignment horizontal="center"/>
    </xf>
    <xf numFmtId="0" fontId="85" fillId="7" borderId="25" xfId="0" applyFont="1" applyFill="1" applyBorder="1" applyAlignment="1">
      <alignment horizontal="center"/>
    </xf>
    <xf numFmtId="0" fontId="85" fillId="7" borderId="3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1" fontId="78" fillId="0" borderId="0" xfId="51" applyNumberFormat="1" applyFont="1" applyBorder="1" applyAlignment="1">
      <alignment horizontal="center"/>
    </xf>
    <xf numFmtId="171" fontId="78" fillId="0" borderId="16" xfId="51" applyNumberFormat="1" applyFont="1" applyBorder="1" applyAlignment="1">
      <alignment horizontal="center"/>
    </xf>
    <xf numFmtId="171" fontId="78" fillId="0" borderId="15" xfId="51" applyNumberFormat="1" applyFont="1" applyBorder="1" applyAlignment="1">
      <alignment horizontal="center"/>
    </xf>
    <xf numFmtId="0" fontId="81" fillId="4" borderId="34" xfId="0" applyFont="1" applyFill="1" applyBorder="1" applyAlignment="1">
      <alignment horizontal="center"/>
    </xf>
    <xf numFmtId="0" fontId="81" fillId="4" borderId="35" xfId="0" applyFont="1" applyFill="1" applyBorder="1" applyAlignment="1">
      <alignment horizontal="center"/>
    </xf>
    <xf numFmtId="0" fontId="81" fillId="4" borderId="36" xfId="0" applyFont="1" applyFill="1" applyBorder="1" applyAlignment="1">
      <alignment horizontal="center"/>
    </xf>
    <xf numFmtId="0" fontId="81" fillId="4" borderId="37" xfId="0" applyFont="1" applyFill="1" applyBorder="1" applyAlignment="1">
      <alignment horizontal="center"/>
    </xf>
    <xf numFmtId="171" fontId="80" fillId="0" borderId="16" xfId="51" applyNumberFormat="1" applyFont="1" applyBorder="1" applyAlignment="1">
      <alignment horizontal="center"/>
    </xf>
    <xf numFmtId="171" fontId="80" fillId="0" borderId="15" xfId="51" applyNumberFormat="1" applyFont="1" applyBorder="1" applyAlignment="1">
      <alignment horizontal="center"/>
    </xf>
    <xf numFmtId="0" fontId="75" fillId="41" borderId="25" xfId="0" applyFont="1" applyFill="1" applyBorder="1" applyAlignment="1">
      <alignment horizontal="center"/>
    </xf>
    <xf numFmtId="0" fontId="75" fillId="41" borderId="32" xfId="0" applyFont="1" applyFill="1" applyBorder="1" applyAlignment="1">
      <alignment horizontal="center"/>
    </xf>
    <xf numFmtId="0" fontId="75" fillId="41" borderId="33" xfId="0" applyFont="1" applyFill="1" applyBorder="1" applyAlignment="1">
      <alignment horizontal="center"/>
    </xf>
    <xf numFmtId="0" fontId="75" fillId="4" borderId="25" xfId="0" applyFont="1" applyFill="1" applyBorder="1" applyAlignment="1">
      <alignment horizontal="center"/>
    </xf>
    <xf numFmtId="0" fontId="75" fillId="4" borderId="32" xfId="0" applyFont="1" applyFill="1" applyBorder="1" applyAlignment="1">
      <alignment horizontal="center"/>
    </xf>
    <xf numFmtId="0" fontId="75" fillId="4" borderId="33" xfId="0" applyFont="1" applyFill="1" applyBorder="1" applyAlignment="1">
      <alignment horizontal="center"/>
    </xf>
    <xf numFmtId="0" fontId="85" fillId="4" borderId="25" xfId="0" applyFont="1" applyFill="1" applyBorder="1" applyAlignment="1">
      <alignment horizontal="center"/>
    </xf>
    <xf numFmtId="0" fontId="85" fillId="4" borderId="33" xfId="0" applyFont="1" applyFill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05"/>
          <c:y val="0.2295"/>
          <c:w val="0.719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'cargas mensal'!$A$30:$D$30</c:f>
              <c:strCache>
                <c:ptCount val="1"/>
                <c:pt idx="0">
                  <c:v>evolução anual da movimentação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'cargas mensal'!$E$29:$M$29</c:f>
              <c:numCache/>
            </c:numRef>
          </c:cat>
          <c:val>
            <c:numRef>
              <c:f>'cargas mensal'!$E$30:$M$30</c:f>
              <c:numCache/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"/>
          <c:y val="0.546"/>
          <c:w val="0.25475"/>
          <c:h val="0.1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5"/>
          <c:w val="0.97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'médias móveis cargas'!$A$9:$A$34</c:f>
              <c:strCache/>
            </c:strRef>
          </c:cat>
          <c:val>
            <c:numRef>
              <c:f>'médias móveis cargas'!$B$9:$B$34</c:f>
              <c:numCache/>
            </c:numRef>
          </c:val>
          <c:shape val="box"/>
        </c:ser>
        <c:shape val="box"/>
        <c:axId val="38855751"/>
        <c:axId val="14157440"/>
      </c:bar3D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57440"/>
        <c:crosses val="autoZero"/>
        <c:auto val="1"/>
        <c:lblOffset val="100"/>
        <c:tickLblSkip val="1"/>
        <c:noMultiLvlLbl val="0"/>
      </c:catAx>
      <c:valAx>
        <c:axId val="14157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751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76200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838200</xdr:colOff>
      <xdr:row>2</xdr:row>
      <xdr:rowOff>95250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5</xdr:row>
      <xdr:rowOff>66675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1304925</xdr:colOff>
      <xdr:row>4</xdr:row>
      <xdr:rowOff>161925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56</xdr:row>
      <xdr:rowOff>85725</xdr:rowOff>
    </xdr:from>
    <xdr:to>
      <xdr:col>0</xdr:col>
      <xdr:colOff>1295400</xdr:colOff>
      <xdr:row>61</xdr:row>
      <xdr:rowOff>85725</xdr:rowOff>
    </xdr:to>
    <xdr:pic>
      <xdr:nvPicPr>
        <xdr:cNvPr id="2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1545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85725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</xdr:row>
      <xdr:rowOff>123825</xdr:rowOff>
    </xdr:from>
    <xdr:to>
      <xdr:col>10</xdr:col>
      <xdr:colOff>47625</xdr:colOff>
      <xdr:row>39</xdr:row>
      <xdr:rowOff>133350</xdr:rowOff>
    </xdr:to>
    <xdr:graphicFrame>
      <xdr:nvGraphicFramePr>
        <xdr:cNvPr id="2" name="Gráfico 4"/>
        <xdr:cNvGraphicFramePr/>
      </xdr:nvGraphicFramePr>
      <xdr:xfrm>
        <a:off x="209550" y="5915025"/>
        <a:ext cx="771525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895350</xdr:colOff>
      <xdr:row>3</xdr:row>
      <xdr:rowOff>47625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19050</xdr:rowOff>
    </xdr:from>
    <xdr:to>
      <xdr:col>5</xdr:col>
      <xdr:colOff>600075</xdr:colOff>
      <xdr:row>57</xdr:row>
      <xdr:rowOff>76200</xdr:rowOff>
    </xdr:to>
    <xdr:graphicFrame>
      <xdr:nvGraphicFramePr>
        <xdr:cNvPr id="2" name="Gráfico 5"/>
        <xdr:cNvGraphicFramePr/>
      </xdr:nvGraphicFramePr>
      <xdr:xfrm>
        <a:off x="0" y="6534150"/>
        <a:ext cx="776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1143000</xdr:colOff>
      <xdr:row>2</xdr:row>
      <xdr:rowOff>38100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1190625</xdr:colOff>
      <xdr:row>3</xdr:row>
      <xdr:rowOff>66675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1733550</xdr:colOff>
      <xdr:row>4</xdr:row>
      <xdr:rowOff>38100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1028700</xdr:colOff>
      <xdr:row>2</xdr:row>
      <xdr:rowOff>114300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0</xdr:row>
      <xdr:rowOff>57150</xdr:rowOff>
    </xdr:from>
    <xdr:to>
      <xdr:col>3</xdr:col>
      <xdr:colOff>723900</xdr:colOff>
      <xdr:row>2</xdr:row>
      <xdr:rowOff>47625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6200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showGridLines="0" zoomScale="75" zoomScaleNormal="75" zoomScalePageLayoutView="0" workbookViewId="0" topLeftCell="A1">
      <selection activeCell="H28" sqref="H28"/>
    </sheetView>
  </sheetViews>
  <sheetFormatPr defaultColWidth="9.140625" defaultRowHeight="12.75"/>
  <cols>
    <col min="1" max="1" width="52.00390625" style="196" customWidth="1"/>
    <col min="2" max="2" width="14.00390625" style="196" customWidth="1"/>
    <col min="3" max="3" width="17.7109375" style="196" customWidth="1"/>
    <col min="4" max="4" width="14.00390625" style="196" customWidth="1"/>
    <col min="5" max="5" width="20.00390625" style="196" bestFit="1" customWidth="1"/>
    <col min="6" max="6" width="13.57421875" style="196" bestFit="1" customWidth="1"/>
    <col min="7" max="7" width="34.421875" style="196" bestFit="1" customWidth="1"/>
    <col min="8" max="8" width="21.7109375" style="196" bestFit="1" customWidth="1"/>
    <col min="9" max="9" width="11.421875" style="196" bestFit="1" customWidth="1"/>
    <col min="10" max="16384" width="9.140625" style="196" customWidth="1"/>
  </cols>
  <sheetData>
    <row r="5" ht="12.75">
      <c r="F5" s="221"/>
    </row>
    <row r="6" spans="1:10" s="256" customFormat="1" ht="18.75">
      <c r="A6" s="370" t="s">
        <v>238</v>
      </c>
      <c r="B6" s="370"/>
      <c r="C6" s="370"/>
      <c r="D6" s="370"/>
      <c r="E6" s="370"/>
      <c r="F6" s="370"/>
      <c r="G6" s="370"/>
      <c r="H6" s="370"/>
      <c r="J6" s="257"/>
    </row>
    <row r="7" spans="1:8" ht="15.75">
      <c r="A7" s="371" t="s">
        <v>522</v>
      </c>
      <c r="B7" s="371"/>
      <c r="C7" s="371"/>
      <c r="D7" s="371"/>
      <c r="E7" s="371"/>
      <c r="F7" s="371"/>
      <c r="G7" s="371"/>
      <c r="H7" s="371"/>
    </row>
    <row r="8" spans="1:6" ht="15.75">
      <c r="A8" s="255"/>
      <c r="B8" s="255"/>
      <c r="E8" s="260"/>
      <c r="F8" s="254"/>
    </row>
    <row r="9" spans="1:8" ht="15.75">
      <c r="A9" s="240" t="s">
        <v>161</v>
      </c>
      <c r="B9" s="368" t="s">
        <v>157</v>
      </c>
      <c r="C9" s="369"/>
      <c r="D9" s="368" t="s">
        <v>156</v>
      </c>
      <c r="E9" s="372"/>
      <c r="F9" s="240" t="s">
        <v>119</v>
      </c>
      <c r="G9" s="373" t="s">
        <v>239</v>
      </c>
      <c r="H9" s="374"/>
    </row>
    <row r="10" spans="1:10" ht="15.75">
      <c r="A10" s="250" t="s">
        <v>163</v>
      </c>
      <c r="B10" s="252" t="s">
        <v>494</v>
      </c>
      <c r="C10" s="253">
        <v>4</v>
      </c>
      <c r="D10" s="252" t="s">
        <v>523</v>
      </c>
      <c r="E10" s="253">
        <v>9</v>
      </c>
      <c r="F10" s="317">
        <v>1.25</v>
      </c>
      <c r="G10" s="252" t="s">
        <v>203</v>
      </c>
      <c r="H10" s="265">
        <v>93</v>
      </c>
      <c r="I10" s="260"/>
      <c r="J10" s="356"/>
    </row>
    <row r="11" spans="1:9" ht="15.75">
      <c r="A11" s="248" t="s">
        <v>481</v>
      </c>
      <c r="B11" s="247" t="s">
        <v>494</v>
      </c>
      <c r="C11" s="251">
        <v>0</v>
      </c>
      <c r="D11" s="247" t="s">
        <v>523</v>
      </c>
      <c r="E11" s="251">
        <v>0</v>
      </c>
      <c r="F11" s="361">
        <v>0</v>
      </c>
      <c r="G11" s="288" t="s">
        <v>203</v>
      </c>
      <c r="H11" s="266">
        <v>37</v>
      </c>
      <c r="I11" s="260"/>
    </row>
    <row r="12" spans="1:11" ht="15.75">
      <c r="A12" s="250" t="s">
        <v>164</v>
      </c>
      <c r="B12" s="249" t="s">
        <v>494</v>
      </c>
      <c r="C12" s="335">
        <v>11.1</v>
      </c>
      <c r="D12" s="249" t="s">
        <v>523</v>
      </c>
      <c r="E12" s="335">
        <v>14.26</v>
      </c>
      <c r="F12" s="318">
        <v>0.2847</v>
      </c>
      <c r="G12" s="249" t="s">
        <v>203</v>
      </c>
      <c r="H12" s="267">
        <v>193.54</v>
      </c>
      <c r="I12" s="336"/>
      <c r="J12" s="336"/>
      <c r="K12" s="196" t="s">
        <v>12</v>
      </c>
    </row>
    <row r="13" spans="1:11" ht="15.75">
      <c r="A13" s="248" t="s">
        <v>482</v>
      </c>
      <c r="B13" s="247" t="s">
        <v>494</v>
      </c>
      <c r="C13" s="289">
        <v>18.9</v>
      </c>
      <c r="D13" s="247" t="s">
        <v>523</v>
      </c>
      <c r="E13" s="289">
        <v>16.74</v>
      </c>
      <c r="F13" s="317">
        <v>-0.1143</v>
      </c>
      <c r="G13" s="246" t="s">
        <v>203</v>
      </c>
      <c r="H13" s="268">
        <v>171.46</v>
      </c>
      <c r="I13" s="254"/>
      <c r="K13" s="196" t="s">
        <v>12</v>
      </c>
    </row>
    <row r="14" spans="1:10" ht="15.75">
      <c r="A14" s="245" t="s">
        <v>165</v>
      </c>
      <c r="B14" s="243" t="s">
        <v>494</v>
      </c>
      <c r="C14" s="244">
        <v>23415.477</v>
      </c>
      <c r="D14" s="243" t="s">
        <v>523</v>
      </c>
      <c r="E14" s="244">
        <v>63040.069</v>
      </c>
      <c r="F14" s="319">
        <v>1.6922</v>
      </c>
      <c r="G14" s="243" t="s">
        <v>203</v>
      </c>
      <c r="H14" s="269">
        <v>720108.725</v>
      </c>
      <c r="J14" s="196" t="s">
        <v>12</v>
      </c>
    </row>
    <row r="15" spans="1:13" ht="15.75">
      <c r="A15" s="196" t="s">
        <v>160</v>
      </c>
      <c r="F15" s="242"/>
      <c r="G15" s="236" t="s">
        <v>159</v>
      </c>
      <c r="H15" s="241">
        <f>H14/12</f>
        <v>60009.06041666667</v>
      </c>
      <c r="J15" s="196" t="s">
        <v>12</v>
      </c>
      <c r="K15" s="196" t="s">
        <v>12</v>
      </c>
      <c r="M15" s="196" t="s">
        <v>12</v>
      </c>
    </row>
    <row r="17" ht="15.75">
      <c r="M17" s="196" t="s">
        <v>12</v>
      </c>
    </row>
    <row r="18" spans="1:8" ht="15.75">
      <c r="A18" s="240" t="s">
        <v>158</v>
      </c>
      <c r="B18" s="368" t="s">
        <v>157</v>
      </c>
      <c r="C18" s="369"/>
      <c r="D18" s="373" t="s">
        <v>156</v>
      </c>
      <c r="E18" s="375"/>
      <c r="F18" s="240" t="s">
        <v>119</v>
      </c>
      <c r="G18" s="368" t="s">
        <v>240</v>
      </c>
      <c r="H18" s="369"/>
    </row>
    <row r="19" spans="1:12" ht="15.75">
      <c r="A19" s="239" t="s">
        <v>166</v>
      </c>
      <c r="B19" s="238" t="s">
        <v>494</v>
      </c>
      <c r="C19" s="351">
        <v>1172395.74</v>
      </c>
      <c r="D19" s="243" t="s">
        <v>523</v>
      </c>
      <c r="E19" s="351">
        <v>1036100.05</v>
      </c>
      <c r="F19" s="352">
        <v>-0.1163</v>
      </c>
      <c r="G19" s="252" t="s">
        <v>203</v>
      </c>
      <c r="H19" s="237">
        <v>22976293.05</v>
      </c>
      <c r="J19" s="196" t="s">
        <v>12</v>
      </c>
      <c r="L19" s="196" t="s">
        <v>12</v>
      </c>
    </row>
    <row r="20" spans="7:8" ht="15.75">
      <c r="G20" s="236" t="s">
        <v>155</v>
      </c>
      <c r="H20" s="235">
        <f>H19/12</f>
        <v>1914691.0875000001</v>
      </c>
    </row>
    <row r="21" spans="5:6" ht="15.75">
      <c r="E21" s="289"/>
      <c r="F21" s="289"/>
    </row>
    <row r="22" spans="7:11" ht="15.75">
      <c r="G22" s="368" t="s">
        <v>241</v>
      </c>
      <c r="H22" s="369"/>
      <c r="K22" s="196" t="s">
        <v>12</v>
      </c>
    </row>
    <row r="23" spans="7:12" ht="15.75">
      <c r="G23" s="252" t="s">
        <v>203</v>
      </c>
      <c r="H23" s="332">
        <f>H14</f>
        <v>720108.725</v>
      </c>
      <c r="L23" s="196" t="s">
        <v>12</v>
      </c>
    </row>
    <row r="24" spans="7:8" ht="15.75">
      <c r="G24" s="236" t="s">
        <v>204</v>
      </c>
      <c r="H24" s="320">
        <f>H23/12</f>
        <v>60009.06041666667</v>
      </c>
    </row>
    <row r="26" ht="15.75">
      <c r="E26" s="196" t="s">
        <v>12</v>
      </c>
    </row>
    <row r="27" spans="7:8" ht="15.75">
      <c r="G27" s="299" t="s">
        <v>205</v>
      </c>
      <c r="H27" s="300">
        <f>H19/H14</f>
        <v>31.906699991726946</v>
      </c>
    </row>
  </sheetData>
  <sheetProtection/>
  <mergeCells count="9">
    <mergeCell ref="G22:H22"/>
    <mergeCell ref="A6:H6"/>
    <mergeCell ref="A7:H7"/>
    <mergeCell ref="B9:C9"/>
    <mergeCell ref="D9:E9"/>
    <mergeCell ref="G9:H9"/>
    <mergeCell ref="B18:C18"/>
    <mergeCell ref="D18:E18"/>
    <mergeCell ref="G18:H18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86"/>
  <sheetViews>
    <sheetView showGridLines="0" zoomScale="75" zoomScaleNormal="75" zoomScalePageLayoutView="0" workbookViewId="0" topLeftCell="A58">
      <selection activeCell="M64" sqref="M64"/>
    </sheetView>
  </sheetViews>
  <sheetFormatPr defaultColWidth="11.421875" defaultRowHeight="12.75"/>
  <cols>
    <col min="1" max="1" width="36.140625" style="141" customWidth="1"/>
    <col min="2" max="2" width="35.421875" style="169" customWidth="1"/>
    <col min="3" max="4" width="17.7109375" style="168" customWidth="1"/>
    <col min="5" max="5" width="0.13671875" style="167" customWidth="1"/>
    <col min="6" max="11" width="11.421875" style="167" hidden="1" customWidth="1"/>
    <col min="12" max="16384" width="11.421875" style="167" customWidth="1"/>
  </cols>
  <sheetData>
    <row r="4" spans="1:4" ht="15.75">
      <c r="A4" s="434" t="s">
        <v>217</v>
      </c>
      <c r="B4" s="434"/>
      <c r="C4" s="434"/>
      <c r="D4" s="434"/>
    </row>
    <row r="5" spans="1:4" s="114" customFormat="1" ht="15.75">
      <c r="A5" s="185" t="s">
        <v>225</v>
      </c>
      <c r="B5" s="184"/>
      <c r="C5" s="184"/>
      <c r="D5" s="184"/>
    </row>
    <row r="6" spans="1:4" ht="14.25">
      <c r="A6" s="183" t="s">
        <v>115</v>
      </c>
      <c r="B6" s="183" t="s">
        <v>114</v>
      </c>
      <c r="C6" s="182" t="s">
        <v>113</v>
      </c>
      <c r="D6" s="182" t="s">
        <v>476</v>
      </c>
    </row>
    <row r="7" spans="1:4" ht="14.25">
      <c r="A7" s="188" t="s">
        <v>112</v>
      </c>
      <c r="B7" s="188" t="s">
        <v>111</v>
      </c>
      <c r="C7" s="179" t="s">
        <v>110</v>
      </c>
      <c r="D7" s="187" t="s">
        <v>109</v>
      </c>
    </row>
    <row r="8" spans="1:4" ht="15">
      <c r="A8" s="171" t="s">
        <v>226</v>
      </c>
      <c r="B8" s="176" t="s">
        <v>227</v>
      </c>
      <c r="C8" s="177">
        <v>1.38</v>
      </c>
      <c r="D8" s="175"/>
    </row>
    <row r="9" spans="1:4" ht="15">
      <c r="A9" s="171" t="s">
        <v>232</v>
      </c>
      <c r="B9" s="176" t="s">
        <v>233</v>
      </c>
      <c r="C9" s="177">
        <v>0.5</v>
      </c>
      <c r="D9" s="175"/>
    </row>
    <row r="10" spans="1:4" ht="15">
      <c r="A10" s="171" t="s">
        <v>236</v>
      </c>
      <c r="B10" s="176" t="s">
        <v>237</v>
      </c>
      <c r="C10" s="177">
        <v>0.75</v>
      </c>
      <c r="D10" s="175"/>
    </row>
    <row r="11" spans="1:12" ht="15">
      <c r="A11" s="173" t="s">
        <v>83</v>
      </c>
      <c r="B11" s="186" t="s">
        <v>16</v>
      </c>
      <c r="C11" s="172">
        <f>SUM(C8:C8)</f>
        <v>1.38</v>
      </c>
      <c r="D11" s="172">
        <f>31-C11</f>
        <v>29.62</v>
      </c>
      <c r="L11" s="167">
        <v>3</v>
      </c>
    </row>
    <row r="12" spans="1:4" ht="15">
      <c r="A12" s="285" t="s">
        <v>243</v>
      </c>
      <c r="B12" s="286" t="s">
        <v>244</v>
      </c>
      <c r="C12" s="287">
        <v>0.54</v>
      </c>
      <c r="D12" s="274"/>
    </row>
    <row r="13" spans="1:4" ht="15">
      <c r="A13" s="285" t="s">
        <v>247</v>
      </c>
      <c r="B13" s="286" t="s">
        <v>248</v>
      </c>
      <c r="C13" s="287">
        <v>0.47</v>
      </c>
      <c r="D13" s="274"/>
    </row>
    <row r="14" spans="1:4" ht="15">
      <c r="A14" s="285" t="s">
        <v>257</v>
      </c>
      <c r="B14" s="286" t="s">
        <v>258</v>
      </c>
      <c r="C14" s="287">
        <v>0.76</v>
      </c>
      <c r="D14" s="274"/>
    </row>
    <row r="15" spans="1:4" ht="15">
      <c r="A15" s="171" t="s">
        <v>259</v>
      </c>
      <c r="B15" s="174" t="s">
        <v>260</v>
      </c>
      <c r="C15" s="170">
        <v>0.43</v>
      </c>
      <c r="D15" s="175"/>
    </row>
    <row r="16" spans="1:4" ht="15">
      <c r="A16" s="171" t="s">
        <v>261</v>
      </c>
      <c r="B16" s="176" t="s">
        <v>262</v>
      </c>
      <c r="C16" s="170">
        <v>0.77</v>
      </c>
      <c r="D16" s="175"/>
    </row>
    <row r="17" spans="1:4" ht="15">
      <c r="A17" s="171" t="s">
        <v>265</v>
      </c>
      <c r="B17" s="176" t="s">
        <v>266</v>
      </c>
      <c r="C17" s="170">
        <v>0.75</v>
      </c>
      <c r="D17" s="175"/>
    </row>
    <row r="18" spans="1:12" ht="15">
      <c r="A18" s="284" t="s">
        <v>83</v>
      </c>
      <c r="B18" s="186" t="s">
        <v>17</v>
      </c>
      <c r="C18" s="172">
        <f>SUM(C12:C17)</f>
        <v>3.72</v>
      </c>
      <c r="D18" s="172">
        <f>28-3.72</f>
        <v>24.28</v>
      </c>
      <c r="L18" s="167">
        <v>6</v>
      </c>
    </row>
    <row r="19" spans="1:4" ht="15">
      <c r="A19" s="285" t="s">
        <v>276</v>
      </c>
      <c r="B19" s="286" t="s">
        <v>277</v>
      </c>
      <c r="C19" s="287">
        <v>0.72</v>
      </c>
      <c r="D19" s="274"/>
    </row>
    <row r="20" spans="1:4" ht="15">
      <c r="A20" s="285" t="s">
        <v>284</v>
      </c>
      <c r="B20" s="286" t="s">
        <v>285</v>
      </c>
      <c r="C20" s="287">
        <v>0.97</v>
      </c>
      <c r="D20" s="274"/>
    </row>
    <row r="21" spans="1:4" ht="15">
      <c r="A21" s="285" t="s">
        <v>288</v>
      </c>
      <c r="B21" s="286" t="s">
        <v>289</v>
      </c>
      <c r="C21" s="287">
        <v>0.9</v>
      </c>
      <c r="D21" s="274"/>
    </row>
    <row r="22" spans="1:12" ht="15">
      <c r="A22" s="284" t="s">
        <v>83</v>
      </c>
      <c r="B22" s="186" t="s">
        <v>18</v>
      </c>
      <c r="C22" s="172">
        <f>SUM(C19:C21)</f>
        <v>2.59</v>
      </c>
      <c r="D22" s="172">
        <f>31-C22</f>
        <v>28.41</v>
      </c>
      <c r="L22" s="167">
        <v>3</v>
      </c>
    </row>
    <row r="23" spans="1:4" ht="15">
      <c r="A23" s="285" t="s">
        <v>296</v>
      </c>
      <c r="B23" s="286" t="s">
        <v>297</v>
      </c>
      <c r="C23" s="287">
        <v>0.47</v>
      </c>
      <c r="D23" s="274"/>
    </row>
    <row r="24" spans="1:4" ht="15">
      <c r="A24" s="285" t="s">
        <v>300</v>
      </c>
      <c r="B24" s="286" t="s">
        <v>301</v>
      </c>
      <c r="C24" s="287">
        <v>0.6</v>
      </c>
      <c r="D24" s="274"/>
    </row>
    <row r="25" spans="1:4" ht="15">
      <c r="A25" s="285" t="s">
        <v>308</v>
      </c>
      <c r="B25" s="286" t="s">
        <v>309</v>
      </c>
      <c r="C25" s="287">
        <v>0.43</v>
      </c>
      <c r="D25" s="274"/>
    </row>
    <row r="26" spans="1:4" ht="15">
      <c r="A26" s="285" t="s">
        <v>310</v>
      </c>
      <c r="B26" s="286" t="s">
        <v>311</v>
      </c>
      <c r="C26" s="287">
        <v>1.04</v>
      </c>
      <c r="D26" s="274"/>
    </row>
    <row r="27" spans="1:4" ht="15">
      <c r="A27" s="285" t="s">
        <v>312</v>
      </c>
      <c r="B27" s="286" t="s">
        <v>313</v>
      </c>
      <c r="C27" s="287">
        <v>0.77</v>
      </c>
      <c r="D27" s="274"/>
    </row>
    <row r="28" spans="1:4" ht="15">
      <c r="A28" s="285" t="s">
        <v>316</v>
      </c>
      <c r="B28" s="286" t="s">
        <v>317</v>
      </c>
      <c r="C28" s="287">
        <v>0.43</v>
      </c>
      <c r="D28" s="274"/>
    </row>
    <row r="29" spans="1:12" ht="15">
      <c r="A29" s="284" t="s">
        <v>83</v>
      </c>
      <c r="B29" s="186" t="s">
        <v>68</v>
      </c>
      <c r="C29" s="172">
        <f>SUM(C23:C28)</f>
        <v>3.74</v>
      </c>
      <c r="D29" s="172">
        <f>30-C29</f>
        <v>26.259999999999998</v>
      </c>
      <c r="L29" s="167">
        <v>6</v>
      </c>
    </row>
    <row r="30" spans="1:4" ht="15">
      <c r="A30" s="285" t="s">
        <v>322</v>
      </c>
      <c r="B30" s="286" t="s">
        <v>323</v>
      </c>
      <c r="C30" s="287">
        <v>0.46</v>
      </c>
      <c r="D30" s="274"/>
    </row>
    <row r="31" spans="1:4" ht="15">
      <c r="A31" s="285" t="s">
        <v>326</v>
      </c>
      <c r="B31" s="286" t="s">
        <v>327</v>
      </c>
      <c r="C31" s="287">
        <v>1.27</v>
      </c>
      <c r="D31" s="274"/>
    </row>
    <row r="32" spans="1:4" ht="15">
      <c r="A32" s="285" t="s">
        <v>334</v>
      </c>
      <c r="B32" s="286" t="s">
        <v>335</v>
      </c>
      <c r="C32" s="287">
        <v>0.8</v>
      </c>
      <c r="D32" s="274"/>
    </row>
    <row r="33" spans="1:4" ht="15">
      <c r="A33" s="285" t="s">
        <v>344</v>
      </c>
      <c r="B33" s="286" t="s">
        <v>345</v>
      </c>
      <c r="C33" s="287">
        <v>1.21</v>
      </c>
      <c r="D33" s="274"/>
    </row>
    <row r="34" spans="1:4" ht="15">
      <c r="A34" s="285" t="s">
        <v>348</v>
      </c>
      <c r="B34" s="286" t="s">
        <v>349</v>
      </c>
      <c r="C34" s="287">
        <v>2.6</v>
      </c>
      <c r="D34" s="274"/>
    </row>
    <row r="35" spans="1:4" ht="15">
      <c r="A35" s="285" t="s">
        <v>352</v>
      </c>
      <c r="B35" s="286" t="s">
        <v>353</v>
      </c>
      <c r="C35" s="287">
        <v>0.75</v>
      </c>
      <c r="D35" s="274"/>
    </row>
    <row r="36" spans="1:4" ht="15">
      <c r="A36" s="285" t="s">
        <v>354</v>
      </c>
      <c r="B36" s="286" t="s">
        <v>355</v>
      </c>
      <c r="C36" s="287">
        <v>0.44</v>
      </c>
      <c r="D36" s="274"/>
    </row>
    <row r="37" spans="1:12" ht="15">
      <c r="A37" s="284" t="s">
        <v>83</v>
      </c>
      <c r="B37" s="186" t="s">
        <v>67</v>
      </c>
      <c r="C37" s="172">
        <f>SUM(C30:C36)</f>
        <v>7.53</v>
      </c>
      <c r="D37" s="172">
        <f>31-C37</f>
        <v>23.47</v>
      </c>
      <c r="L37" s="167">
        <v>7</v>
      </c>
    </row>
    <row r="38" spans="1:4" ht="15">
      <c r="A38" s="285" t="s">
        <v>354</v>
      </c>
      <c r="B38" s="286" t="s">
        <v>357</v>
      </c>
      <c r="C38" s="287">
        <v>2</v>
      </c>
      <c r="D38" s="274"/>
    </row>
    <row r="39" spans="1:4" ht="15">
      <c r="A39" s="285" t="s">
        <v>358</v>
      </c>
      <c r="B39" s="286" t="s">
        <v>359</v>
      </c>
      <c r="C39" s="287">
        <v>0.93</v>
      </c>
      <c r="D39" s="274"/>
    </row>
    <row r="40" spans="1:4" ht="15">
      <c r="A40" s="285" t="s">
        <v>366</v>
      </c>
      <c r="B40" s="286" t="s">
        <v>367</v>
      </c>
      <c r="C40" s="287">
        <v>0.68</v>
      </c>
      <c r="D40" s="274"/>
    </row>
    <row r="41" spans="1:12" ht="15">
      <c r="A41" s="284" t="s">
        <v>83</v>
      </c>
      <c r="B41" s="186" t="s">
        <v>66</v>
      </c>
      <c r="C41" s="172">
        <f>SUM(C38:C40)</f>
        <v>3.6100000000000003</v>
      </c>
      <c r="D41" s="172">
        <f>30-C41</f>
        <v>26.39</v>
      </c>
      <c r="L41" s="167">
        <v>2</v>
      </c>
    </row>
    <row r="42" spans="1:4" ht="15">
      <c r="A42" s="285" t="s">
        <v>391</v>
      </c>
      <c r="B42" s="286" t="s">
        <v>392</v>
      </c>
      <c r="C42" s="287">
        <v>2.04</v>
      </c>
      <c r="D42" s="274"/>
    </row>
    <row r="43" spans="1:4" ht="14.25">
      <c r="A43" s="270" t="s">
        <v>393</v>
      </c>
      <c r="B43" s="271" t="s">
        <v>394</v>
      </c>
      <c r="C43" s="177">
        <v>0.46</v>
      </c>
      <c r="D43" s="177"/>
    </row>
    <row r="44" spans="1:4" ht="15">
      <c r="A44" s="285" t="s">
        <v>395</v>
      </c>
      <c r="B44" s="286" t="s">
        <v>396</v>
      </c>
      <c r="C44" s="287">
        <v>1.38</v>
      </c>
      <c r="D44" s="274"/>
    </row>
    <row r="45" spans="1:4" ht="15">
      <c r="A45" s="285" t="s">
        <v>397</v>
      </c>
      <c r="B45" s="286" t="s">
        <v>398</v>
      </c>
      <c r="C45" s="287">
        <v>0.96</v>
      </c>
      <c r="D45" s="274"/>
    </row>
    <row r="46" spans="1:4" ht="15">
      <c r="A46" s="285" t="s">
        <v>399</v>
      </c>
      <c r="B46" s="286" t="s">
        <v>400</v>
      </c>
      <c r="C46" s="287">
        <v>0.64</v>
      </c>
      <c r="D46" s="274"/>
    </row>
    <row r="47" spans="1:12" ht="15">
      <c r="A47" s="284" t="s">
        <v>83</v>
      </c>
      <c r="B47" s="186" t="s">
        <v>39</v>
      </c>
      <c r="C47" s="172">
        <f>SUM(C42:C46)</f>
        <v>5.4799999999999995</v>
      </c>
      <c r="D47" s="172">
        <f>31-C47</f>
        <v>25.52</v>
      </c>
      <c r="L47" s="167">
        <v>5</v>
      </c>
    </row>
    <row r="48" spans="1:4" ht="15">
      <c r="A48" s="285" t="s">
        <v>410</v>
      </c>
      <c r="B48" s="286" t="s">
        <v>411</v>
      </c>
      <c r="C48" s="287">
        <v>1.09</v>
      </c>
      <c r="D48" s="274"/>
    </row>
    <row r="49" spans="1:4" ht="15">
      <c r="A49" s="285" t="s">
        <v>420</v>
      </c>
      <c r="B49" s="286" t="s">
        <v>421</v>
      </c>
      <c r="C49" s="287">
        <v>0.55</v>
      </c>
      <c r="D49" s="274"/>
    </row>
    <row r="50" spans="1:4" ht="15">
      <c r="A50" s="285" t="s">
        <v>422</v>
      </c>
      <c r="B50" s="286" t="s">
        <v>423</v>
      </c>
      <c r="C50" s="287">
        <v>0.54</v>
      </c>
      <c r="D50" s="274"/>
    </row>
    <row r="51" spans="1:4" ht="15">
      <c r="A51" s="285" t="s">
        <v>424</v>
      </c>
      <c r="B51" s="286" t="s">
        <v>425</v>
      </c>
      <c r="C51" s="287">
        <v>1.35</v>
      </c>
      <c r="D51" s="274"/>
    </row>
    <row r="52" spans="1:4" ht="15">
      <c r="A52" s="285" t="s">
        <v>430</v>
      </c>
      <c r="B52" s="286" t="s">
        <v>431</v>
      </c>
      <c r="C52" s="287">
        <v>1.5</v>
      </c>
      <c r="D52" s="274"/>
    </row>
    <row r="53" spans="1:12" ht="15">
      <c r="A53" s="284" t="s">
        <v>83</v>
      </c>
      <c r="B53" s="186" t="s">
        <v>40</v>
      </c>
      <c r="C53" s="172">
        <f>SUM(C48:C52)</f>
        <v>5.03</v>
      </c>
      <c r="D53" s="172">
        <f>31-C53</f>
        <v>25.97</v>
      </c>
      <c r="L53" s="167">
        <v>5</v>
      </c>
    </row>
    <row r="54" spans="1:4" ht="15">
      <c r="A54" s="285"/>
      <c r="B54" s="286"/>
      <c r="C54" s="287"/>
      <c r="D54" s="274"/>
    </row>
    <row r="55" spans="1:4" ht="15">
      <c r="A55" s="285"/>
      <c r="B55" s="286"/>
      <c r="C55" s="287"/>
      <c r="D55" s="274"/>
    </row>
    <row r="56" spans="1:4" ht="15">
      <c r="A56" s="285"/>
      <c r="B56" s="286"/>
      <c r="C56" s="287"/>
      <c r="D56" s="274"/>
    </row>
    <row r="57" spans="1:4" ht="15">
      <c r="A57" s="285"/>
      <c r="B57" s="286"/>
      <c r="C57" s="287"/>
      <c r="D57" s="274"/>
    </row>
    <row r="58" spans="1:4" ht="15">
      <c r="A58" s="285"/>
      <c r="B58" s="286"/>
      <c r="C58" s="287"/>
      <c r="D58" s="274"/>
    </row>
    <row r="59" spans="1:4" ht="15">
      <c r="A59" s="285"/>
      <c r="B59" s="286"/>
      <c r="C59" s="287"/>
      <c r="D59" s="274"/>
    </row>
    <row r="60" spans="1:4" ht="15">
      <c r="A60" s="285"/>
      <c r="B60" s="286"/>
      <c r="C60" s="287"/>
      <c r="D60" s="274"/>
    </row>
    <row r="61" spans="1:4" ht="15">
      <c r="A61" s="284" t="s">
        <v>83</v>
      </c>
      <c r="B61" s="186" t="s">
        <v>41</v>
      </c>
      <c r="C61" s="172"/>
      <c r="D61" s="172"/>
    </row>
    <row r="62" spans="1:4" ht="15">
      <c r="A62" s="285"/>
      <c r="B62" s="286"/>
      <c r="C62" s="287"/>
      <c r="D62" s="274"/>
    </row>
    <row r="63" spans="1:4" ht="15">
      <c r="A63" s="285"/>
      <c r="B63" s="286"/>
      <c r="C63" s="287"/>
      <c r="D63" s="274"/>
    </row>
    <row r="64" spans="1:4" ht="15">
      <c r="A64" s="285"/>
      <c r="B64" s="286"/>
      <c r="C64" s="287"/>
      <c r="D64" s="274"/>
    </row>
    <row r="65" spans="1:4" ht="15">
      <c r="A65" s="285"/>
      <c r="B65" s="286"/>
      <c r="C65" s="287"/>
      <c r="D65" s="274"/>
    </row>
    <row r="66" spans="1:4" ht="15">
      <c r="A66" s="285"/>
      <c r="B66" s="286"/>
      <c r="C66" s="287"/>
      <c r="D66" s="274"/>
    </row>
    <row r="67" spans="1:4" ht="15">
      <c r="A67" s="284" t="s">
        <v>83</v>
      </c>
      <c r="B67" s="186" t="s">
        <v>42</v>
      </c>
      <c r="C67" s="172"/>
      <c r="D67" s="172"/>
    </row>
    <row r="68" spans="1:4" ht="15">
      <c r="A68" s="285"/>
      <c r="B68" s="286"/>
      <c r="C68" s="287"/>
      <c r="D68" s="274"/>
    </row>
    <row r="69" spans="1:4" ht="15">
      <c r="A69" s="285"/>
      <c r="B69" s="286"/>
      <c r="C69" s="287"/>
      <c r="D69" s="274"/>
    </row>
    <row r="70" spans="1:4" ht="15">
      <c r="A70" s="285"/>
      <c r="B70" s="286"/>
      <c r="C70" s="287"/>
      <c r="D70" s="274"/>
    </row>
    <row r="71" spans="1:4" ht="15">
      <c r="A71" s="285"/>
      <c r="B71" s="286"/>
      <c r="C71" s="287"/>
      <c r="D71" s="274"/>
    </row>
    <row r="72" spans="1:4" ht="15">
      <c r="A72" s="285"/>
      <c r="B72" s="286"/>
      <c r="C72" s="287"/>
      <c r="D72" s="274"/>
    </row>
    <row r="73" spans="1:4" ht="15">
      <c r="A73" s="285"/>
      <c r="B73" s="286"/>
      <c r="C73" s="287"/>
      <c r="D73" s="274"/>
    </row>
    <row r="74" spans="1:4" ht="15">
      <c r="A74" s="284" t="s">
        <v>83</v>
      </c>
      <c r="B74" s="186" t="s">
        <v>43</v>
      </c>
      <c r="C74" s="172"/>
      <c r="D74" s="172"/>
    </row>
    <row r="75" spans="1:4" ht="15">
      <c r="A75" s="285"/>
      <c r="B75" s="286"/>
      <c r="C75" s="287"/>
      <c r="D75" s="274"/>
    </row>
    <row r="76" spans="1:4" ht="15">
      <c r="A76" s="285"/>
      <c r="B76" s="286"/>
      <c r="C76" s="287"/>
      <c r="D76" s="274"/>
    </row>
    <row r="77" spans="1:4" ht="15">
      <c r="A77" s="285"/>
      <c r="B77" s="286"/>
      <c r="C77" s="287"/>
      <c r="D77" s="274"/>
    </row>
    <row r="78" spans="1:4" ht="15">
      <c r="A78" s="285"/>
      <c r="B78" s="286"/>
      <c r="C78" s="287"/>
      <c r="D78" s="274"/>
    </row>
    <row r="79" spans="1:4" ht="15">
      <c r="A79" s="285"/>
      <c r="B79" s="286"/>
      <c r="C79" s="287"/>
      <c r="D79" s="274"/>
    </row>
    <row r="80" spans="1:4" ht="15">
      <c r="A80" s="285"/>
      <c r="B80" s="286"/>
      <c r="C80" s="287"/>
      <c r="D80" s="274"/>
    </row>
    <row r="81" spans="1:4" ht="15">
      <c r="A81" s="285"/>
      <c r="B81" s="286"/>
      <c r="C81" s="287"/>
      <c r="D81" s="274"/>
    </row>
    <row r="82" spans="1:4" ht="15">
      <c r="A82" s="284" t="s">
        <v>83</v>
      </c>
      <c r="B82" s="186" t="s">
        <v>44</v>
      </c>
      <c r="C82" s="172"/>
      <c r="D82" s="172"/>
    </row>
    <row r="83" spans="1:12" ht="18">
      <c r="A83" s="435" t="s">
        <v>108</v>
      </c>
      <c r="B83" s="435"/>
      <c r="C83" s="348">
        <f>SUM(C47,C41,C37,C29,C22,C18,C11,C53,C61,C67,C74,C82)</f>
        <v>33.08</v>
      </c>
      <c r="D83" s="348">
        <f>D11+D18+D22+D29+D37+D41+D47+D53+D61+D67+D74+D82</f>
        <v>209.92000000000002</v>
      </c>
      <c r="E83" s="109"/>
      <c r="F83" s="109"/>
      <c r="G83" s="109"/>
      <c r="H83" s="109"/>
      <c r="I83" s="109"/>
      <c r="J83" s="109"/>
      <c r="K83" s="109"/>
      <c r="L83" s="349">
        <f>SUM(L11,L18,L22,L29,L37,L41,L47,L53)</f>
        <v>37</v>
      </c>
    </row>
    <row r="85" ht="14.25">
      <c r="A85" s="141" t="s">
        <v>118</v>
      </c>
    </row>
    <row r="86" ht="14.25">
      <c r="A86" s="141" t="s">
        <v>117</v>
      </c>
    </row>
  </sheetData>
  <sheetProtection/>
  <mergeCells count="2">
    <mergeCell ref="A4:D4"/>
    <mergeCell ref="A83:B83"/>
  </mergeCells>
  <printOptions horizontalCentered="1" verticalCentered="1"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="75" zoomScaleNormal="75" zoomScalePageLayoutView="0" workbookViewId="0" topLeftCell="A11">
      <selection activeCell="R23" sqref="R23"/>
    </sheetView>
  </sheetViews>
  <sheetFormatPr defaultColWidth="9.140625" defaultRowHeight="12.75"/>
  <cols>
    <col min="1" max="1" width="20.28125" style="123" customWidth="1"/>
    <col min="2" max="3" width="13.28125" style="123" customWidth="1"/>
    <col min="4" max="4" width="28.421875" style="123" customWidth="1"/>
    <col min="5" max="11" width="9.140625" style="123" hidden="1" customWidth="1"/>
    <col min="12" max="12" width="9.421875" style="123" bestFit="1" customWidth="1"/>
    <col min="13" max="13" width="9.140625" style="123" customWidth="1"/>
    <col min="14" max="14" width="20.28125" style="123" bestFit="1" customWidth="1"/>
    <col min="15" max="16" width="13.28125" style="123" bestFit="1" customWidth="1"/>
    <col min="17" max="17" width="28.421875" style="123" bestFit="1" customWidth="1"/>
    <col min="18" max="18" width="9.421875" style="123" bestFit="1" customWidth="1"/>
    <col min="19" max="16384" width="9.140625" style="123" customWidth="1"/>
  </cols>
  <sheetData>
    <row r="1" spans="1:11" ht="14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4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7" ht="12.75">
      <c r="A5" s="43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</row>
    <row r="6" spans="1:17" ht="12.75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ht="12.75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1:11" ht="12.7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7" ht="25.5">
      <c r="A10" s="436" t="s">
        <v>96</v>
      </c>
      <c r="B10" s="436"/>
      <c r="C10" s="436"/>
      <c r="D10" s="436"/>
      <c r="N10" s="436" t="s">
        <v>95</v>
      </c>
      <c r="O10" s="436"/>
      <c r="P10" s="436"/>
      <c r="Q10" s="436"/>
    </row>
    <row r="11" spans="1:17" ht="19.5">
      <c r="A11" s="437" t="s">
        <v>94</v>
      </c>
      <c r="B11" s="437"/>
      <c r="C11" s="437"/>
      <c r="D11" s="437"/>
      <c r="N11" s="437" t="s">
        <v>454</v>
      </c>
      <c r="O11" s="437"/>
      <c r="P11" s="437"/>
      <c r="Q11" s="437"/>
    </row>
    <row r="13" spans="1:17" ht="25.5">
      <c r="A13" s="139" t="s">
        <v>86</v>
      </c>
      <c r="B13" s="139">
        <v>2014</v>
      </c>
      <c r="C13" s="139">
        <v>2015</v>
      </c>
      <c r="D13" s="139" t="s">
        <v>93</v>
      </c>
      <c r="N13" s="139" t="s">
        <v>86</v>
      </c>
      <c r="O13" s="139">
        <v>2014</v>
      </c>
      <c r="P13" s="139">
        <v>2015</v>
      </c>
      <c r="Q13" s="139" t="s">
        <v>93</v>
      </c>
    </row>
    <row r="14" spans="1:19" ht="25.5">
      <c r="A14" s="134" t="s">
        <v>16</v>
      </c>
      <c r="B14" s="133">
        <v>22.07</v>
      </c>
      <c r="C14" s="133">
        <v>20.59</v>
      </c>
      <c r="D14" s="135">
        <v>-0.0671</v>
      </c>
      <c r="L14" s="275"/>
      <c r="N14" s="134" t="s">
        <v>16</v>
      </c>
      <c r="O14" s="133">
        <v>3.23</v>
      </c>
      <c r="P14" s="309">
        <v>1.38</v>
      </c>
      <c r="Q14" s="135">
        <v>-0.5728</v>
      </c>
      <c r="R14" s="273"/>
      <c r="S14" s="123" t="s">
        <v>12</v>
      </c>
    </row>
    <row r="15" spans="1:21" ht="25.5">
      <c r="A15" s="134" t="s">
        <v>17</v>
      </c>
      <c r="B15" s="133">
        <v>13.26</v>
      </c>
      <c r="C15" s="133">
        <v>15.89</v>
      </c>
      <c r="D15" s="135">
        <v>0.1983</v>
      </c>
      <c r="L15" s="136"/>
      <c r="N15" s="134" t="s">
        <v>17</v>
      </c>
      <c r="O15" s="133">
        <v>5.94</v>
      </c>
      <c r="P15" s="316">
        <v>3.72</v>
      </c>
      <c r="Q15" s="276">
        <v>-0.3737</v>
      </c>
      <c r="R15" s="275"/>
      <c r="U15" s="123" t="s">
        <v>12</v>
      </c>
    </row>
    <row r="16" spans="1:18" ht="25.5">
      <c r="A16" s="134" t="s">
        <v>18</v>
      </c>
      <c r="B16" s="133">
        <v>19.05</v>
      </c>
      <c r="C16" s="133">
        <v>14.25</v>
      </c>
      <c r="D16" s="135">
        <v>-0.252</v>
      </c>
      <c r="N16" s="134" t="s">
        <v>18</v>
      </c>
      <c r="O16" s="133">
        <v>5.39</v>
      </c>
      <c r="P16" s="316">
        <v>2.59</v>
      </c>
      <c r="Q16" s="276">
        <v>-0.5195</v>
      </c>
      <c r="R16" s="331"/>
    </row>
    <row r="17" spans="1:17" ht="25.5">
      <c r="A17" s="134" t="s">
        <v>68</v>
      </c>
      <c r="B17" s="133">
        <v>22.3</v>
      </c>
      <c r="C17" s="133">
        <v>18.2</v>
      </c>
      <c r="D17" s="135">
        <v>-0.1839</v>
      </c>
      <c r="L17" s="275"/>
      <c r="N17" s="134" t="s">
        <v>68</v>
      </c>
      <c r="O17" s="133">
        <v>3.64</v>
      </c>
      <c r="P17" s="316">
        <v>3.74</v>
      </c>
      <c r="Q17" s="135">
        <v>0.0275</v>
      </c>
    </row>
    <row r="18" spans="1:18" ht="25.5">
      <c r="A18" s="134" t="s">
        <v>67</v>
      </c>
      <c r="B18" s="133">
        <v>21.12</v>
      </c>
      <c r="C18" s="133">
        <v>13.88</v>
      </c>
      <c r="D18" s="135">
        <v>-0.3428</v>
      </c>
      <c r="N18" s="134" t="s">
        <v>67</v>
      </c>
      <c r="O18" s="133">
        <v>2.92</v>
      </c>
      <c r="P18" s="316">
        <v>7.53</v>
      </c>
      <c r="Q18" s="135">
        <v>0.5788</v>
      </c>
      <c r="R18" s="331"/>
    </row>
    <row r="19" spans="1:17" ht="25.5">
      <c r="A19" s="134" t="s">
        <v>66</v>
      </c>
      <c r="B19" s="133">
        <v>17.63</v>
      </c>
      <c r="C19" s="133">
        <v>9.9</v>
      </c>
      <c r="D19" s="135">
        <v>-0.4385</v>
      </c>
      <c r="E19" s="138"/>
      <c r="N19" s="134" t="s">
        <v>66</v>
      </c>
      <c r="O19" s="133">
        <v>4.68</v>
      </c>
      <c r="P19" s="316">
        <v>3.61</v>
      </c>
      <c r="Q19" s="135">
        <v>-0.2286</v>
      </c>
    </row>
    <row r="20" spans="1:17" ht="25.5">
      <c r="A20" s="134" t="s">
        <v>39</v>
      </c>
      <c r="B20" s="133">
        <v>22.85</v>
      </c>
      <c r="C20" s="133">
        <v>15.08</v>
      </c>
      <c r="D20" s="135">
        <v>-0.34</v>
      </c>
      <c r="N20" s="134" t="s">
        <v>39</v>
      </c>
      <c r="O20" s="133">
        <v>9.02</v>
      </c>
      <c r="P20" s="316">
        <v>5.48</v>
      </c>
      <c r="Q20" s="135">
        <v>-0.3925</v>
      </c>
    </row>
    <row r="21" spans="1:17" ht="25.5">
      <c r="A21" s="134" t="s">
        <v>40</v>
      </c>
      <c r="B21" s="133">
        <v>10.22</v>
      </c>
      <c r="C21" s="133">
        <v>21.71</v>
      </c>
      <c r="D21" s="135">
        <v>1.1243</v>
      </c>
      <c r="F21" s="137"/>
      <c r="L21" s="136"/>
      <c r="N21" s="134" t="s">
        <v>40</v>
      </c>
      <c r="O21" s="133">
        <v>13.29</v>
      </c>
      <c r="P21" s="316">
        <v>5.03</v>
      </c>
      <c r="Q21" s="135">
        <v>-0.6215</v>
      </c>
    </row>
    <row r="22" spans="1:17" ht="25.5">
      <c r="A22" s="134" t="s">
        <v>41</v>
      </c>
      <c r="B22" s="133">
        <v>9.97</v>
      </c>
      <c r="C22" s="133">
        <v>19.37</v>
      </c>
      <c r="D22" s="135">
        <v>0.9428</v>
      </c>
      <c r="N22" s="134" t="s">
        <v>41</v>
      </c>
      <c r="O22" s="133">
        <v>8.54</v>
      </c>
      <c r="P22" s="133">
        <v>0</v>
      </c>
      <c r="Q22" s="132"/>
    </row>
    <row r="23" spans="1:17" ht="25.5">
      <c r="A23" s="134" t="s">
        <v>42</v>
      </c>
      <c r="B23" s="133">
        <v>17.03</v>
      </c>
      <c r="C23" s="133">
        <v>19.31</v>
      </c>
      <c r="D23" s="135">
        <v>0.1339</v>
      </c>
      <c r="N23" s="134" t="s">
        <v>42</v>
      </c>
      <c r="O23" s="133">
        <v>4.24</v>
      </c>
      <c r="P23" s="133">
        <v>0</v>
      </c>
      <c r="Q23" s="132"/>
    </row>
    <row r="24" spans="1:17" ht="25.5">
      <c r="A24" s="134" t="s">
        <v>43</v>
      </c>
      <c r="B24" s="133">
        <v>17.46</v>
      </c>
      <c r="C24" s="133">
        <v>11.1</v>
      </c>
      <c r="D24" s="135">
        <v>-0.3643</v>
      </c>
      <c r="N24" s="134" t="s">
        <v>43</v>
      </c>
      <c r="O24" s="133">
        <v>7.28</v>
      </c>
      <c r="P24" s="133">
        <v>0</v>
      </c>
      <c r="Q24" s="132"/>
    </row>
    <row r="25" spans="1:18" ht="25.5">
      <c r="A25" s="134" t="s">
        <v>44</v>
      </c>
      <c r="B25" s="133">
        <v>18.41</v>
      </c>
      <c r="C25" s="133">
        <v>14.26</v>
      </c>
      <c r="D25" s="135">
        <v>-0.2254</v>
      </c>
      <c r="N25" s="134" t="s">
        <v>44</v>
      </c>
      <c r="O25" s="133">
        <v>4.13</v>
      </c>
      <c r="P25" s="367">
        <v>0</v>
      </c>
      <c r="Q25" s="135"/>
      <c r="R25" s="273"/>
    </row>
    <row r="26" spans="1:17" ht="25.5">
      <c r="A26" s="130" t="s">
        <v>92</v>
      </c>
      <c r="B26" s="129">
        <f>SUM(B14:B25)</f>
        <v>211.37</v>
      </c>
      <c r="C26" s="129">
        <f>SUM(C14:C25)</f>
        <v>193.54</v>
      </c>
      <c r="D26" s="131">
        <v>-0.0844</v>
      </c>
      <c r="L26" s="126"/>
      <c r="N26" s="130" t="s">
        <v>92</v>
      </c>
      <c r="O26" s="129">
        <f>SUM(O14:O25)</f>
        <v>72.29999999999998</v>
      </c>
      <c r="P26" s="330">
        <f>SUM(P14:P25)</f>
        <v>33.08</v>
      </c>
      <c r="Q26" s="131"/>
    </row>
    <row r="27" spans="1:4" ht="20.25">
      <c r="A27" s="126"/>
      <c r="B27" s="126"/>
      <c r="C27" s="128"/>
      <c r="D27" s="126"/>
    </row>
    <row r="28" spans="1:14" ht="20.25">
      <c r="A28" s="126"/>
      <c r="B28" s="126"/>
      <c r="C28" s="126"/>
      <c r="D28" s="127"/>
      <c r="N28" s="124"/>
    </row>
    <row r="29" spans="1:14" ht="20.25">
      <c r="A29" s="126" t="s">
        <v>479</v>
      </c>
      <c r="B29" s="126"/>
      <c r="C29" s="126"/>
      <c r="D29" s="125"/>
      <c r="N29" s="124"/>
    </row>
    <row r="30" ht="20.25">
      <c r="A30" s="126" t="s">
        <v>480</v>
      </c>
    </row>
    <row r="32" ht="12.75">
      <c r="C32" s="123" t="s">
        <v>12</v>
      </c>
    </row>
  </sheetData>
  <sheetProtection/>
  <mergeCells count="7">
    <mergeCell ref="A10:D10"/>
    <mergeCell ref="A11:D11"/>
    <mergeCell ref="N10:Q10"/>
    <mergeCell ref="N11:Q11"/>
    <mergeCell ref="A5:Q5"/>
    <mergeCell ref="A6:Q6"/>
    <mergeCell ref="A7:Q7"/>
  </mergeCells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108"/>
  <sheetViews>
    <sheetView showGridLines="0" zoomScalePageLayoutView="0" workbookViewId="0" topLeftCell="A66">
      <pane xSplit="1" topLeftCell="B1" activePane="topRight" state="frozen"/>
      <selection pane="topLeft" activeCell="A60" sqref="A60"/>
      <selection pane="topRight" activeCell="M75" sqref="M75"/>
    </sheetView>
  </sheetViews>
  <sheetFormatPr defaultColWidth="11.421875" defaultRowHeight="12.75"/>
  <cols>
    <col min="1" max="1" width="32.140625" style="1" customWidth="1"/>
    <col min="2" max="2" width="7.8515625" style="2" customWidth="1"/>
    <col min="3" max="3" width="11.28125" style="3" customWidth="1"/>
    <col min="4" max="4" width="7.7109375" style="2" customWidth="1"/>
    <col min="5" max="5" width="12.28125" style="3" customWidth="1"/>
    <col min="6" max="6" width="8.28125" style="2" customWidth="1"/>
    <col min="7" max="7" width="12.7109375" style="3" customWidth="1"/>
    <col min="8" max="8" width="8.7109375" style="2" customWidth="1"/>
    <col min="9" max="9" width="11.7109375" style="3" customWidth="1"/>
    <col min="10" max="10" width="7.7109375" style="2" customWidth="1"/>
    <col min="11" max="11" width="12.28125" style="3" customWidth="1"/>
    <col min="12" max="12" width="8.57421875" style="2" customWidth="1"/>
    <col min="13" max="13" width="12.00390625" style="3" customWidth="1"/>
    <col min="14" max="14" width="10.57421875" style="1" customWidth="1"/>
    <col min="15" max="15" width="17.421875" style="1" customWidth="1"/>
    <col min="16" max="16384" width="11.421875" style="1" customWidth="1"/>
  </cols>
  <sheetData>
    <row r="7" ht="13.5" thickBot="1"/>
    <row r="8" spans="1:15" ht="21.75" thickBot="1" thickTop="1">
      <c r="A8" s="378" t="s">
        <v>211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</row>
    <row r="9" ht="13.5" thickTop="1"/>
    <row r="10" spans="1:15" ht="12.75">
      <c r="A10" s="4" t="s">
        <v>0</v>
      </c>
      <c r="B10" s="5" t="s">
        <v>1</v>
      </c>
      <c r="C10" s="6"/>
      <c r="D10" s="7" t="s">
        <v>2</v>
      </c>
      <c r="E10" s="8"/>
      <c r="F10" s="7" t="s">
        <v>3</v>
      </c>
      <c r="G10" s="9"/>
      <c r="H10" s="5" t="s">
        <v>4</v>
      </c>
      <c r="I10" s="9"/>
      <c r="J10" s="5" t="s">
        <v>5</v>
      </c>
      <c r="K10" s="9"/>
      <c r="L10" s="5" t="s">
        <v>6</v>
      </c>
      <c r="M10" s="9"/>
      <c r="N10" s="10" t="s">
        <v>7</v>
      </c>
      <c r="O10" s="11"/>
    </row>
    <row r="11" spans="1:15" ht="12.75">
      <c r="A11" s="4" t="s">
        <v>24</v>
      </c>
      <c r="B11" s="13" t="s">
        <v>8</v>
      </c>
      <c r="C11" s="14" t="s">
        <v>9</v>
      </c>
      <c r="D11" s="13" t="s">
        <v>8</v>
      </c>
      <c r="E11" s="14" t="s">
        <v>9</v>
      </c>
      <c r="F11" s="4" t="s">
        <v>8</v>
      </c>
      <c r="G11" s="14" t="s">
        <v>9</v>
      </c>
      <c r="H11" s="4" t="s">
        <v>8</v>
      </c>
      <c r="I11" s="14" t="s">
        <v>9</v>
      </c>
      <c r="J11" s="13" t="s">
        <v>8</v>
      </c>
      <c r="K11" s="14" t="s">
        <v>9</v>
      </c>
      <c r="L11" s="13" t="s">
        <v>8</v>
      </c>
      <c r="M11" s="14" t="s">
        <v>9</v>
      </c>
      <c r="N11" s="15" t="s">
        <v>8</v>
      </c>
      <c r="O11" s="16" t="s">
        <v>9</v>
      </c>
    </row>
    <row r="12" spans="1:16" ht="12.75" customHeight="1">
      <c r="A12" s="48" t="s">
        <v>21</v>
      </c>
      <c r="B12" s="45">
        <v>0</v>
      </c>
      <c r="C12" s="283">
        <f>11871.08+12453.72+11930.2</f>
        <v>36255</v>
      </c>
      <c r="D12" s="295">
        <v>0</v>
      </c>
      <c r="E12" s="283">
        <f>1591.96+4325.89+556.55+2612.32+5611+3808.78+613.56</f>
        <v>19120.06</v>
      </c>
      <c r="F12" s="337">
        <v>0</v>
      </c>
      <c r="G12" s="283">
        <f>3007.26+3686.68+1083.12+5403.43+3722.92+2827.68</f>
        <v>19731.090000000004</v>
      </c>
      <c r="H12" s="295">
        <v>0</v>
      </c>
      <c r="I12" s="294">
        <f>4455.74+6029.67+7081.84+5830.61+568.65</f>
        <v>23966.510000000002</v>
      </c>
      <c r="J12" s="337">
        <v>0</v>
      </c>
      <c r="K12" s="283">
        <f>76.23+3924.07+6426.72</f>
        <v>10427.02</v>
      </c>
      <c r="L12" s="295">
        <v>0</v>
      </c>
      <c r="M12" s="294">
        <f>21761.63</f>
        <v>21761.63</v>
      </c>
      <c r="N12" s="46">
        <f>(B12+D12+F12+H12+J12+L12)</f>
        <v>0</v>
      </c>
      <c r="O12" s="20">
        <f>(C12+E12+G12+I12+K12+M12)</f>
        <v>131261.31</v>
      </c>
      <c r="P12" s="21"/>
    </row>
    <row r="13" spans="1:15" ht="12.75" customHeight="1">
      <c r="A13" s="48" t="s">
        <v>179</v>
      </c>
      <c r="B13" s="45">
        <v>0</v>
      </c>
      <c r="C13" s="283">
        <v>0</v>
      </c>
      <c r="D13" s="295">
        <v>0</v>
      </c>
      <c r="E13" s="283">
        <f>7012.94+2978.41+2533.14+7454.12</f>
        <v>19978.609999999997</v>
      </c>
      <c r="F13" s="337">
        <v>0</v>
      </c>
      <c r="G13" s="283">
        <v>0</v>
      </c>
      <c r="H13" s="295">
        <v>0</v>
      </c>
      <c r="I13" s="294">
        <f>6482.63+8480.44</f>
        <v>14963.07</v>
      </c>
      <c r="J13" s="338">
        <v>0</v>
      </c>
      <c r="K13" s="283">
        <v>19854.75</v>
      </c>
      <c r="L13" s="295">
        <v>0</v>
      </c>
      <c r="M13" s="294">
        <v>0</v>
      </c>
      <c r="N13" s="51">
        <f>(B13+D13+F13+H13+J13+L13)</f>
        <v>0</v>
      </c>
      <c r="O13" s="20">
        <f aca="true" t="shared" si="0" ref="O13:O26">(C13+E13+G13+I13+K13+M13)</f>
        <v>54796.42999999999</v>
      </c>
    </row>
    <row r="14" spans="1:15" ht="12.75">
      <c r="A14" s="48" t="s">
        <v>22</v>
      </c>
      <c r="B14" s="45">
        <v>0</v>
      </c>
      <c r="C14" s="283">
        <f>5976.83</f>
        <v>5976.83</v>
      </c>
      <c r="D14" s="295">
        <v>0</v>
      </c>
      <c r="E14" s="283">
        <v>0</v>
      </c>
      <c r="F14" s="337">
        <v>0</v>
      </c>
      <c r="G14" s="283">
        <v>0</v>
      </c>
      <c r="H14" s="295">
        <v>0</v>
      </c>
      <c r="I14" s="294">
        <v>0</v>
      </c>
      <c r="J14" s="337">
        <v>0</v>
      </c>
      <c r="K14" s="283">
        <v>0</v>
      </c>
      <c r="L14" s="295">
        <v>0</v>
      </c>
      <c r="M14" s="294">
        <v>0</v>
      </c>
      <c r="N14" s="46">
        <f>(B14+D14+F14+H14+J14+L14)</f>
        <v>0</v>
      </c>
      <c r="O14" s="20">
        <f t="shared" si="0"/>
        <v>5976.83</v>
      </c>
    </row>
    <row r="15" spans="1:15" ht="12.75">
      <c r="A15" s="48" t="s">
        <v>23</v>
      </c>
      <c r="B15" s="45">
        <v>0</v>
      </c>
      <c r="C15" s="283">
        <v>0</v>
      </c>
      <c r="D15" s="295">
        <v>0</v>
      </c>
      <c r="E15" s="283">
        <v>0</v>
      </c>
      <c r="F15" s="337">
        <v>0</v>
      </c>
      <c r="G15" s="283">
        <f>2596.21+4182.64+5839.94+4586.02+74.16+1486.33</f>
        <v>18765.300000000003</v>
      </c>
      <c r="H15" s="295">
        <v>0</v>
      </c>
      <c r="I15" s="294">
        <f>3145.1+5428.13+4129.74+1956.02+89.25+4105.42</f>
        <v>18853.66</v>
      </c>
      <c r="J15" s="337">
        <v>0</v>
      </c>
      <c r="K15" s="283">
        <v>0</v>
      </c>
      <c r="L15" s="295">
        <v>0</v>
      </c>
      <c r="M15" s="294">
        <v>0</v>
      </c>
      <c r="N15" s="46">
        <f>(B15+D15+F15+H15+J15+L15)</f>
        <v>0</v>
      </c>
      <c r="O15" s="20">
        <f t="shared" si="0"/>
        <v>37618.96000000001</v>
      </c>
    </row>
    <row r="16" spans="1:15" ht="12.75">
      <c r="A16" s="48" t="s">
        <v>185</v>
      </c>
      <c r="B16" s="30">
        <v>538</v>
      </c>
      <c r="C16" s="283">
        <v>71.7</v>
      </c>
      <c r="D16" s="296">
        <f>7+2+545</f>
        <v>554</v>
      </c>
      <c r="E16" s="283">
        <f>50.8+12.74+0.36</f>
        <v>63.9</v>
      </c>
      <c r="F16" s="338">
        <v>968</v>
      </c>
      <c r="G16" s="283">
        <v>153.524</v>
      </c>
      <c r="H16" s="296">
        <f>660+25</f>
        <v>685</v>
      </c>
      <c r="I16" s="294">
        <f>71.224+12.15</f>
        <v>83.37400000000001</v>
      </c>
      <c r="J16" s="338">
        <v>712</v>
      </c>
      <c r="K16" s="283">
        <v>55.391</v>
      </c>
      <c r="L16" s="296">
        <f>980</f>
        <v>980</v>
      </c>
      <c r="M16" s="294">
        <f>99.326</f>
        <v>99.326</v>
      </c>
      <c r="N16" s="51">
        <f>(B16+D16+F16+H16+J16+L16)</f>
        <v>4437</v>
      </c>
      <c r="O16" s="20">
        <f t="shared" si="0"/>
        <v>527.215</v>
      </c>
    </row>
    <row r="17" spans="1:15" ht="12.75">
      <c r="A17" s="48" t="s">
        <v>47</v>
      </c>
      <c r="B17" s="30">
        <v>0</v>
      </c>
      <c r="C17" s="283">
        <v>0</v>
      </c>
      <c r="D17" s="296">
        <v>0</v>
      </c>
      <c r="E17" s="283">
        <v>0</v>
      </c>
      <c r="F17" s="337">
        <v>0</v>
      </c>
      <c r="G17" s="283">
        <v>0</v>
      </c>
      <c r="H17" s="296">
        <v>0</v>
      </c>
      <c r="I17" s="294">
        <v>0</v>
      </c>
      <c r="J17" s="338">
        <v>0</v>
      </c>
      <c r="K17" s="283">
        <v>0</v>
      </c>
      <c r="L17" s="296">
        <v>0</v>
      </c>
      <c r="M17" s="294">
        <v>0</v>
      </c>
      <c r="N17" s="51">
        <f aca="true" t="shared" si="1" ref="N17:N26">(B17+D17+F17+H17+J17+L17)</f>
        <v>0</v>
      </c>
      <c r="O17" s="20">
        <f t="shared" si="0"/>
        <v>0</v>
      </c>
    </row>
    <row r="18" spans="1:15" ht="12.75">
      <c r="A18" s="49" t="s">
        <v>180</v>
      </c>
      <c r="B18" s="30">
        <v>9</v>
      </c>
      <c r="C18" s="283">
        <f>327.556+472.297</f>
        <v>799.8530000000001</v>
      </c>
      <c r="D18" s="296">
        <v>0</v>
      </c>
      <c r="E18" s="283">
        <v>0</v>
      </c>
      <c r="F18" s="338">
        <f>13+2</f>
        <v>15</v>
      </c>
      <c r="G18" s="283">
        <f>103.225+96.2</f>
        <v>199.425</v>
      </c>
      <c r="H18" s="296">
        <v>0</v>
      </c>
      <c r="I18" s="294">
        <v>0</v>
      </c>
      <c r="J18" s="338">
        <f>70+30+11+31+12</f>
        <v>154</v>
      </c>
      <c r="K18" s="283">
        <f>150.013+687.962+52.79+293.985+273.174</f>
        <v>1457.924</v>
      </c>
      <c r="L18" s="296">
        <v>0</v>
      </c>
      <c r="M18" s="294">
        <v>0</v>
      </c>
      <c r="N18" s="51">
        <f t="shared" si="1"/>
        <v>178</v>
      </c>
      <c r="O18" s="20">
        <f t="shared" si="0"/>
        <v>2457.202</v>
      </c>
    </row>
    <row r="19" spans="1:15" ht="12.75">
      <c r="A19" s="49" t="s">
        <v>32</v>
      </c>
      <c r="B19" s="30">
        <v>0</v>
      </c>
      <c r="C19" s="283">
        <v>0</v>
      </c>
      <c r="D19" s="296">
        <v>0</v>
      </c>
      <c r="E19" s="294">
        <v>0</v>
      </c>
      <c r="F19" s="337">
        <v>0</v>
      </c>
      <c r="G19" s="283">
        <v>0</v>
      </c>
      <c r="H19" s="296">
        <v>0</v>
      </c>
      <c r="I19" s="294">
        <v>0</v>
      </c>
      <c r="J19" s="338">
        <v>0</v>
      </c>
      <c r="K19" s="283">
        <v>0</v>
      </c>
      <c r="L19" s="295">
        <v>0</v>
      </c>
      <c r="M19" s="294">
        <v>0</v>
      </c>
      <c r="N19" s="51">
        <f t="shared" si="1"/>
        <v>0</v>
      </c>
      <c r="O19" s="20">
        <f t="shared" si="0"/>
        <v>0</v>
      </c>
    </row>
    <row r="20" spans="1:15" ht="12.75" customHeight="1">
      <c r="A20" s="49" t="s">
        <v>30</v>
      </c>
      <c r="B20" s="45">
        <v>0</v>
      </c>
      <c r="C20" s="283">
        <v>10102</v>
      </c>
      <c r="D20" s="296">
        <v>0</v>
      </c>
      <c r="E20" s="294">
        <v>0</v>
      </c>
      <c r="F20" s="337">
        <v>0</v>
      </c>
      <c r="G20" s="283">
        <v>0</v>
      </c>
      <c r="H20" s="296">
        <v>0</v>
      </c>
      <c r="I20" s="294">
        <v>0</v>
      </c>
      <c r="J20" s="337">
        <v>0</v>
      </c>
      <c r="K20" s="283">
        <v>0</v>
      </c>
      <c r="L20" s="295">
        <v>0</v>
      </c>
      <c r="M20" s="294">
        <v>0</v>
      </c>
      <c r="N20" s="51">
        <f t="shared" si="1"/>
        <v>0</v>
      </c>
      <c r="O20" s="20">
        <f t="shared" si="0"/>
        <v>10102</v>
      </c>
    </row>
    <row r="21" spans="1:15" ht="12.75" customHeight="1">
      <c r="A21" s="49" t="s">
        <v>34</v>
      </c>
      <c r="B21" s="45">
        <v>0</v>
      </c>
      <c r="C21" s="283">
        <v>0</v>
      </c>
      <c r="D21" s="296">
        <v>0</v>
      </c>
      <c r="E21" s="294">
        <v>0</v>
      </c>
      <c r="F21" s="338">
        <v>0</v>
      </c>
      <c r="G21" s="283">
        <v>0</v>
      </c>
      <c r="H21" s="296">
        <v>0</v>
      </c>
      <c r="I21" s="294">
        <v>0</v>
      </c>
      <c r="J21" s="337">
        <v>0</v>
      </c>
      <c r="K21" s="283">
        <v>0</v>
      </c>
      <c r="L21" s="295">
        <v>0</v>
      </c>
      <c r="M21" s="294">
        <v>0</v>
      </c>
      <c r="N21" s="51">
        <f t="shared" si="1"/>
        <v>0</v>
      </c>
      <c r="O21" s="20">
        <f t="shared" si="0"/>
        <v>0</v>
      </c>
    </row>
    <row r="22" spans="1:15" ht="12.75" customHeight="1">
      <c r="A22" s="49" t="s">
        <v>33</v>
      </c>
      <c r="B22" s="30">
        <v>3727</v>
      </c>
      <c r="C22" s="283">
        <f>17536.86</f>
        <v>17536.86</v>
      </c>
      <c r="D22" s="296">
        <f>1562+1712+626</f>
        <v>3900</v>
      </c>
      <c r="E22" s="294">
        <f>7071.47+7856.99+2939.249</f>
        <v>17867.709</v>
      </c>
      <c r="F22" s="296">
        <v>0</v>
      </c>
      <c r="G22" s="283">
        <v>0</v>
      </c>
      <c r="H22" s="296">
        <f>5047+1115</f>
        <v>6162</v>
      </c>
      <c r="I22" s="294">
        <f>7581.98+7957.26+3703.01</f>
        <v>19242.25</v>
      </c>
      <c r="J22" s="338">
        <f>1696+1929+2080+2239+378+465</f>
        <v>8787</v>
      </c>
      <c r="K22" s="283">
        <f>6832.17+7793.57+8234.29+9083.34+1555.06+1879.42</f>
        <v>35377.85</v>
      </c>
      <c r="L22" s="296">
        <f>3731</f>
        <v>3731</v>
      </c>
      <c r="M22" s="294">
        <f>15053.19</f>
        <v>15053.19</v>
      </c>
      <c r="N22" s="51">
        <f t="shared" si="1"/>
        <v>26307</v>
      </c>
      <c r="O22" s="20">
        <f>(C22+E22+G22+I22+K22+M22)</f>
        <v>105077.859</v>
      </c>
    </row>
    <row r="23" spans="1:15" ht="12.75" customHeight="1">
      <c r="A23" s="49" t="s">
        <v>20</v>
      </c>
      <c r="B23" s="30">
        <v>124</v>
      </c>
      <c r="C23" s="283">
        <f>173.164</f>
        <v>173.164</v>
      </c>
      <c r="D23" s="296">
        <f>178</f>
        <v>178</v>
      </c>
      <c r="E23" s="294">
        <v>163.404</v>
      </c>
      <c r="F23" s="296">
        <f>200+970+1386+776</f>
        <v>3332</v>
      </c>
      <c r="G23" s="283">
        <f>180.14+873.69+1638.82+1084.064</f>
        <v>3776.714</v>
      </c>
      <c r="H23" s="296">
        <f>700+1200</f>
        <v>1900</v>
      </c>
      <c r="I23" s="294">
        <f>630.56+1080.8</f>
        <v>1711.36</v>
      </c>
      <c r="J23" s="338">
        <f>780+450+1492+590</f>
        <v>3312</v>
      </c>
      <c r="K23" s="283">
        <f>702.46+405.386+1961.394+826.59</f>
        <v>3895.83</v>
      </c>
      <c r="L23" s="296">
        <v>0</v>
      </c>
      <c r="M23" s="294">
        <v>0</v>
      </c>
      <c r="N23" s="51">
        <f t="shared" si="1"/>
        <v>8846</v>
      </c>
      <c r="O23" s="20">
        <f t="shared" si="0"/>
        <v>9720.472</v>
      </c>
    </row>
    <row r="24" spans="1:15" ht="12.75" customHeight="1">
      <c r="A24" s="49" t="s">
        <v>162</v>
      </c>
      <c r="B24" s="30">
        <v>0</v>
      </c>
      <c r="C24" s="283">
        <v>0</v>
      </c>
      <c r="D24" s="296">
        <v>0</v>
      </c>
      <c r="E24" s="294">
        <v>0</v>
      </c>
      <c r="F24" s="296">
        <v>0</v>
      </c>
      <c r="G24" s="283">
        <v>0</v>
      </c>
      <c r="H24" s="296">
        <v>0</v>
      </c>
      <c r="I24" s="294">
        <v>0</v>
      </c>
      <c r="J24" s="338">
        <f>1</f>
        <v>1</v>
      </c>
      <c r="K24" s="283">
        <f>3.46</f>
        <v>3.46</v>
      </c>
      <c r="L24" s="296">
        <v>0</v>
      </c>
      <c r="M24" s="294">
        <v>0</v>
      </c>
      <c r="N24" s="51">
        <f t="shared" si="1"/>
        <v>1</v>
      </c>
      <c r="O24" s="20">
        <f t="shared" si="0"/>
        <v>3.46</v>
      </c>
    </row>
    <row r="25" spans="1:15" ht="12.75" customHeight="1">
      <c r="A25" s="49" t="s">
        <v>45</v>
      </c>
      <c r="B25" s="30">
        <v>6</v>
      </c>
      <c r="C25" s="283">
        <f>114.791</f>
        <v>114.791</v>
      </c>
      <c r="D25" s="296">
        <v>0</v>
      </c>
      <c r="E25" s="294">
        <v>0</v>
      </c>
      <c r="F25" s="296">
        <v>0</v>
      </c>
      <c r="G25" s="283">
        <v>0</v>
      </c>
      <c r="H25" s="296">
        <v>0</v>
      </c>
      <c r="I25" s="294">
        <v>0</v>
      </c>
      <c r="J25" s="338">
        <f>12+3+11</f>
        <v>26</v>
      </c>
      <c r="K25" s="283">
        <f>122.57+26.19+96.56</f>
        <v>245.32</v>
      </c>
      <c r="L25" s="296">
        <v>0</v>
      </c>
      <c r="M25" s="294">
        <v>0</v>
      </c>
      <c r="N25" s="51">
        <f t="shared" si="1"/>
        <v>32</v>
      </c>
      <c r="O25" s="20">
        <f t="shared" si="0"/>
        <v>360.111</v>
      </c>
    </row>
    <row r="26" spans="1:15" ht="12.75" customHeight="1">
      <c r="A26" s="49" t="s">
        <v>46</v>
      </c>
      <c r="B26" s="30">
        <v>0</v>
      </c>
      <c r="C26" s="283">
        <v>0</v>
      </c>
      <c r="D26" s="296">
        <v>0</v>
      </c>
      <c r="E26" s="294">
        <v>0</v>
      </c>
      <c r="F26" s="296">
        <v>0</v>
      </c>
      <c r="G26" s="283">
        <v>0</v>
      </c>
      <c r="H26" s="296">
        <v>0</v>
      </c>
      <c r="I26" s="294">
        <v>0</v>
      </c>
      <c r="J26" s="337">
        <v>0</v>
      </c>
      <c r="K26" s="283">
        <v>0</v>
      </c>
      <c r="L26" s="31">
        <v>0</v>
      </c>
      <c r="M26" s="19">
        <v>0</v>
      </c>
      <c r="N26" s="51">
        <f t="shared" si="1"/>
        <v>0</v>
      </c>
      <c r="O26" s="20">
        <f t="shared" si="0"/>
        <v>0</v>
      </c>
    </row>
    <row r="27" spans="1:15" ht="12.75" customHeight="1">
      <c r="A27" s="49" t="s">
        <v>182</v>
      </c>
      <c r="B27" s="30">
        <v>0</v>
      </c>
      <c r="C27" s="18">
        <v>0</v>
      </c>
      <c r="D27" s="31">
        <v>0</v>
      </c>
      <c r="E27" s="19">
        <v>0</v>
      </c>
      <c r="F27" s="281">
        <v>0</v>
      </c>
      <c r="G27" s="280">
        <v>0</v>
      </c>
      <c r="H27" s="31">
        <v>0</v>
      </c>
      <c r="I27" s="19">
        <v>0</v>
      </c>
      <c r="J27" s="45">
        <v>0</v>
      </c>
      <c r="K27" s="18">
        <v>0</v>
      </c>
      <c r="L27" s="31">
        <v>0</v>
      </c>
      <c r="M27" s="19">
        <v>0</v>
      </c>
      <c r="N27" s="51">
        <f>(B27+D27+F27+H27+J27+L27)</f>
        <v>0</v>
      </c>
      <c r="O27" s="20">
        <f>SUM(C27,E27,G27,I27,K27,M27)</f>
        <v>0</v>
      </c>
    </row>
    <row r="28" spans="1:15" s="23" customFormat="1" ht="12.75" customHeight="1">
      <c r="A28" s="12" t="s">
        <v>10</v>
      </c>
      <c r="B28" s="70">
        <f aca="true" t="shared" si="2" ref="B28:O28">SUM(B12:B27)</f>
        <v>4404</v>
      </c>
      <c r="C28" s="71">
        <f t="shared" si="2"/>
        <v>71030.198</v>
      </c>
      <c r="D28" s="70">
        <f t="shared" si="2"/>
        <v>4632</v>
      </c>
      <c r="E28" s="71">
        <f t="shared" si="2"/>
        <v>57193.683</v>
      </c>
      <c r="F28" s="73">
        <f t="shared" si="2"/>
        <v>4315</v>
      </c>
      <c r="G28" s="74">
        <f t="shared" si="2"/>
        <v>42626.05300000001</v>
      </c>
      <c r="H28" s="70">
        <f t="shared" si="2"/>
        <v>8747</v>
      </c>
      <c r="I28" s="74">
        <f t="shared" si="2"/>
        <v>78820.224</v>
      </c>
      <c r="J28" s="70">
        <f t="shared" si="2"/>
        <v>12992</v>
      </c>
      <c r="K28" s="74">
        <f>SUM(K12:K27)</f>
        <v>71317.54500000001</v>
      </c>
      <c r="L28" s="70">
        <f t="shared" si="2"/>
        <v>4711</v>
      </c>
      <c r="M28" s="75">
        <f t="shared" si="2"/>
        <v>36914.146</v>
      </c>
      <c r="N28" s="70">
        <f t="shared" si="2"/>
        <v>39801</v>
      </c>
      <c r="O28" s="74">
        <f t="shared" si="2"/>
        <v>357901.849</v>
      </c>
    </row>
    <row r="29" spans="1:15" ht="12.75">
      <c r="A29" s="24"/>
      <c r="B29" s="25"/>
      <c r="C29" s="26"/>
      <c r="D29" s="25"/>
      <c r="E29" s="26"/>
      <c r="F29" s="25"/>
      <c r="G29" s="27"/>
      <c r="H29" s="25"/>
      <c r="I29" s="27"/>
      <c r="J29" s="25"/>
      <c r="K29" s="27"/>
      <c r="L29" s="25"/>
      <c r="M29" s="27"/>
      <c r="N29" s="28"/>
      <c r="O29" s="28"/>
    </row>
    <row r="30" spans="1:15" ht="12.75">
      <c r="A30" s="4" t="s">
        <v>0</v>
      </c>
      <c r="B30" s="5" t="s">
        <v>1</v>
      </c>
      <c r="C30" s="6"/>
      <c r="D30" s="7" t="s">
        <v>2</v>
      </c>
      <c r="E30" s="8"/>
      <c r="F30" s="7" t="s">
        <v>3</v>
      </c>
      <c r="G30" s="9"/>
      <c r="H30" s="5" t="s">
        <v>4</v>
      </c>
      <c r="I30" s="9"/>
      <c r="J30" s="5" t="s">
        <v>5</v>
      </c>
      <c r="K30" s="9"/>
      <c r="L30" s="5" t="s">
        <v>6</v>
      </c>
      <c r="M30" s="9"/>
      <c r="N30" s="10" t="s">
        <v>19</v>
      </c>
      <c r="O30" s="11"/>
    </row>
    <row r="31" spans="1:15" ht="12.75">
      <c r="A31" s="12" t="s">
        <v>11</v>
      </c>
      <c r="B31" s="13" t="s">
        <v>8</v>
      </c>
      <c r="C31" s="29" t="s">
        <v>9</v>
      </c>
      <c r="D31" s="13" t="s">
        <v>8</v>
      </c>
      <c r="E31" s="29" t="s">
        <v>9</v>
      </c>
      <c r="F31" s="13" t="s">
        <v>8</v>
      </c>
      <c r="G31" s="14" t="s">
        <v>9</v>
      </c>
      <c r="H31" s="4" t="s">
        <v>8</v>
      </c>
      <c r="I31" s="14" t="s">
        <v>9</v>
      </c>
      <c r="J31" s="4" t="s">
        <v>8</v>
      </c>
      <c r="K31" s="14" t="s">
        <v>9</v>
      </c>
      <c r="L31" s="4" t="s">
        <v>8</v>
      </c>
      <c r="M31" s="14" t="s">
        <v>9</v>
      </c>
      <c r="N31" s="15" t="s">
        <v>8</v>
      </c>
      <c r="O31" s="16" t="s">
        <v>9</v>
      </c>
    </row>
    <row r="32" spans="1:15" ht="12.75">
      <c r="A32" s="22" t="s">
        <v>20</v>
      </c>
      <c r="B32" s="30">
        <v>1000</v>
      </c>
      <c r="C32" s="339">
        <v>1007.152</v>
      </c>
      <c r="D32" s="340">
        <f>227+224</f>
        <v>451</v>
      </c>
      <c r="E32" s="341">
        <f>269.56+247.674</f>
        <v>517.234</v>
      </c>
      <c r="F32" s="296">
        <f>12+1056+30+968</f>
        <v>2066</v>
      </c>
      <c r="G32" s="293">
        <f>22.632+1015.84+56.3+932.626</f>
        <v>2027.398</v>
      </c>
      <c r="H32" s="297">
        <f>300</f>
        <v>300</v>
      </c>
      <c r="I32" s="293">
        <f>292.511</f>
        <v>292.511</v>
      </c>
      <c r="J32" s="297">
        <f>160+550+1300+446+40</f>
        <v>2496</v>
      </c>
      <c r="K32" s="293">
        <f>177.18+832.522+1248.491+436.582+49.96</f>
        <v>2744.735</v>
      </c>
      <c r="L32" s="297">
        <f>773+430</f>
        <v>1203</v>
      </c>
      <c r="M32" s="293">
        <f>1496.003+421.526</f>
        <v>1917.529</v>
      </c>
      <c r="N32" s="50">
        <f aca="true" t="shared" si="3" ref="N32:N38">SUM(+B32+D32+F32+H32+J32+L32)</f>
        <v>7516</v>
      </c>
      <c r="O32" s="33">
        <f>(+C32+E32+G32+I32+K32+M32)</f>
        <v>8506.559</v>
      </c>
    </row>
    <row r="33" spans="1:15" ht="12.75">
      <c r="A33" s="22" t="s">
        <v>185</v>
      </c>
      <c r="B33" s="30">
        <v>8080</v>
      </c>
      <c r="C33" s="339">
        <v>495.24</v>
      </c>
      <c r="D33" s="338">
        <f>18+85+4677</f>
        <v>4780</v>
      </c>
      <c r="E33" s="341">
        <f>189.373+0.508+1.26</f>
        <v>191.141</v>
      </c>
      <c r="F33" s="296">
        <v>11161</v>
      </c>
      <c r="G33" s="293">
        <v>456.698</v>
      </c>
      <c r="H33" s="297">
        <f>8170+122</f>
        <v>8292</v>
      </c>
      <c r="I33" s="293">
        <f>353.242+3.81</f>
        <v>357.052</v>
      </c>
      <c r="J33" s="297">
        <f>34+8541+2</f>
        <v>8577</v>
      </c>
      <c r="K33" s="342">
        <v>402.228</v>
      </c>
      <c r="L33" s="296">
        <f>9087+389+18</f>
        <v>9494</v>
      </c>
      <c r="M33" s="293">
        <f>283.151+3.758+1.2</f>
        <v>288.109</v>
      </c>
      <c r="N33" s="50">
        <f t="shared" si="3"/>
        <v>50384</v>
      </c>
      <c r="O33" s="33">
        <f aca="true" t="shared" si="4" ref="O33:O38">(+C33+E33+G33+I33+K33+M33)</f>
        <v>2190.468</v>
      </c>
    </row>
    <row r="34" spans="1:15" ht="12.75">
      <c r="A34" s="22" t="s">
        <v>29</v>
      </c>
      <c r="B34" s="30">
        <v>0</v>
      </c>
      <c r="C34" s="339">
        <v>0</v>
      </c>
      <c r="D34" s="338">
        <v>0</v>
      </c>
      <c r="E34" s="341">
        <v>0</v>
      </c>
      <c r="F34" s="296">
        <v>0</v>
      </c>
      <c r="G34" s="293">
        <v>0</v>
      </c>
      <c r="H34" s="296">
        <v>0</v>
      </c>
      <c r="I34" s="293">
        <v>0</v>
      </c>
      <c r="J34" s="297">
        <v>0</v>
      </c>
      <c r="K34" s="293">
        <v>0</v>
      </c>
      <c r="L34" s="296">
        <f>3307</f>
        <v>3307</v>
      </c>
      <c r="M34" s="293">
        <f>929.66</f>
        <v>929.66</v>
      </c>
      <c r="N34" s="54">
        <f t="shared" si="3"/>
        <v>3307</v>
      </c>
      <c r="O34" s="33">
        <f>(+C34+E34+G34+I34+K34+M34)</f>
        <v>929.66</v>
      </c>
    </row>
    <row r="35" spans="1:15" ht="12.75">
      <c r="A35" s="34" t="s">
        <v>180</v>
      </c>
      <c r="B35" s="30">
        <v>0</v>
      </c>
      <c r="C35" s="343">
        <v>0</v>
      </c>
      <c r="D35" s="338">
        <v>0</v>
      </c>
      <c r="E35" s="341">
        <v>0</v>
      </c>
      <c r="F35" s="296">
        <f>10+55+16+6</f>
        <v>87</v>
      </c>
      <c r="G35" s="293">
        <f>230.796+280.082+203.531+48.513</f>
        <v>762.922</v>
      </c>
      <c r="H35" s="344">
        <v>0</v>
      </c>
      <c r="I35" s="293">
        <v>0</v>
      </c>
      <c r="J35" s="297">
        <v>0</v>
      </c>
      <c r="K35" s="293">
        <v>0</v>
      </c>
      <c r="L35" s="296">
        <v>0</v>
      </c>
      <c r="M35" s="293">
        <v>0</v>
      </c>
      <c r="N35" s="54">
        <f t="shared" si="3"/>
        <v>87</v>
      </c>
      <c r="O35" s="33">
        <f>(+C35+E35+G35+I35+K35+M35)</f>
        <v>762.922</v>
      </c>
    </row>
    <row r="36" spans="1:15" ht="12.75">
      <c r="A36" s="22" t="s">
        <v>27</v>
      </c>
      <c r="B36" s="30">
        <v>0</v>
      </c>
      <c r="C36" s="339">
        <v>0</v>
      </c>
      <c r="D36" s="338">
        <v>0</v>
      </c>
      <c r="E36" s="341">
        <v>0</v>
      </c>
      <c r="F36" s="296">
        <v>0</v>
      </c>
      <c r="G36" s="293">
        <v>0</v>
      </c>
      <c r="H36" s="296">
        <v>0</v>
      </c>
      <c r="I36" s="293">
        <v>0</v>
      </c>
      <c r="J36" s="297">
        <v>0</v>
      </c>
      <c r="K36" s="293">
        <v>0</v>
      </c>
      <c r="L36" s="296">
        <f>64+6</f>
        <v>70</v>
      </c>
      <c r="M36" s="293">
        <f>73.66+0.36</f>
        <v>74.02</v>
      </c>
      <c r="N36" s="50">
        <f t="shared" si="3"/>
        <v>70</v>
      </c>
      <c r="O36" s="33">
        <f t="shared" si="4"/>
        <v>74.02</v>
      </c>
    </row>
    <row r="37" spans="1:15" ht="12.75">
      <c r="A37" s="22" t="s">
        <v>402</v>
      </c>
      <c r="B37" s="30">
        <v>0</v>
      </c>
      <c r="C37" s="339">
        <v>0</v>
      </c>
      <c r="D37" s="338">
        <v>0</v>
      </c>
      <c r="E37" s="341">
        <v>0</v>
      </c>
      <c r="F37" s="296">
        <v>0</v>
      </c>
      <c r="G37" s="293">
        <v>0</v>
      </c>
      <c r="H37" s="295">
        <v>0</v>
      </c>
      <c r="I37" s="293">
        <v>0</v>
      </c>
      <c r="J37" s="345">
        <v>0</v>
      </c>
      <c r="K37" s="293">
        <v>0</v>
      </c>
      <c r="L37" s="295">
        <v>0</v>
      </c>
      <c r="M37" s="293">
        <v>0</v>
      </c>
      <c r="N37" s="50">
        <f t="shared" si="3"/>
        <v>0</v>
      </c>
      <c r="O37" s="33">
        <f t="shared" si="4"/>
        <v>0</v>
      </c>
    </row>
    <row r="38" spans="1:15" ht="12.75">
      <c r="A38" s="22" t="s">
        <v>32</v>
      </c>
      <c r="B38" s="30">
        <v>0</v>
      </c>
      <c r="C38" s="339">
        <v>0</v>
      </c>
      <c r="D38" s="338">
        <v>0</v>
      </c>
      <c r="E38" s="341">
        <v>0</v>
      </c>
      <c r="F38" s="296">
        <v>0</v>
      </c>
      <c r="G38" s="293">
        <v>0</v>
      </c>
      <c r="H38" s="296">
        <v>0</v>
      </c>
      <c r="I38" s="293">
        <v>0</v>
      </c>
      <c r="J38" s="297">
        <v>0</v>
      </c>
      <c r="K38" s="293">
        <v>0</v>
      </c>
      <c r="L38" s="296">
        <v>0</v>
      </c>
      <c r="M38" s="293">
        <v>0</v>
      </c>
      <c r="N38" s="50">
        <f t="shared" si="3"/>
        <v>0</v>
      </c>
      <c r="O38" s="33">
        <f t="shared" si="4"/>
        <v>0</v>
      </c>
    </row>
    <row r="39" spans="1:15" ht="12.75">
      <c r="A39" s="22" t="s">
        <v>182</v>
      </c>
      <c r="B39" s="30">
        <v>0</v>
      </c>
      <c r="C39" s="339">
        <f>870.54+336.12+347.5</f>
        <v>1554.1599999999999</v>
      </c>
      <c r="D39" s="338">
        <v>0</v>
      </c>
      <c r="E39" s="341">
        <f>330.22+320.45+284.98+236.85+389.46+323.86</f>
        <v>1885.8200000000002</v>
      </c>
      <c r="F39" s="296">
        <v>0</v>
      </c>
      <c r="G39" s="293">
        <v>1179.43</v>
      </c>
      <c r="H39" s="296">
        <v>0</v>
      </c>
      <c r="I39" s="293">
        <v>2045.28</v>
      </c>
      <c r="J39" s="297">
        <v>0</v>
      </c>
      <c r="K39" s="293">
        <f>3257.17+784.82+348.59</f>
        <v>4390.58</v>
      </c>
      <c r="L39" s="296">
        <v>0</v>
      </c>
      <c r="M39" s="293">
        <v>1634.54</v>
      </c>
      <c r="N39" s="50">
        <f>SUM(B39,D39,F39,H39,J39,L39)</f>
        <v>0</v>
      </c>
      <c r="O39" s="33">
        <f>SUM(C39,E39,G39,I39,K39,M39)</f>
        <v>12689.810000000001</v>
      </c>
    </row>
    <row r="40" spans="1:15" ht="12.75">
      <c r="A40" s="12" t="s">
        <v>10</v>
      </c>
      <c r="B40" s="70">
        <f aca="true" t="shared" si="5" ref="B40:O40">SUM(B32:B39)</f>
        <v>9080</v>
      </c>
      <c r="C40" s="71">
        <f t="shared" si="5"/>
        <v>3056.5519999999997</v>
      </c>
      <c r="D40" s="70">
        <f t="shared" si="5"/>
        <v>5231</v>
      </c>
      <c r="E40" s="72">
        <f t="shared" si="5"/>
        <v>2594.195</v>
      </c>
      <c r="F40" s="70">
        <f t="shared" si="5"/>
        <v>13314</v>
      </c>
      <c r="G40" s="74">
        <f t="shared" si="5"/>
        <v>4426.448</v>
      </c>
      <c r="H40" s="70">
        <f t="shared" si="5"/>
        <v>8592</v>
      </c>
      <c r="I40" s="74">
        <f t="shared" si="5"/>
        <v>2694.843</v>
      </c>
      <c r="J40" s="70">
        <f t="shared" si="5"/>
        <v>11073</v>
      </c>
      <c r="K40" s="74">
        <f>SUM(K32:K39)</f>
        <v>7537.543</v>
      </c>
      <c r="L40" s="70">
        <f t="shared" si="5"/>
        <v>14074</v>
      </c>
      <c r="M40" s="74">
        <f t="shared" si="5"/>
        <v>4843.858</v>
      </c>
      <c r="N40" s="70">
        <f t="shared" si="5"/>
        <v>61364</v>
      </c>
      <c r="O40" s="74">
        <f t="shared" si="5"/>
        <v>25153.439</v>
      </c>
    </row>
    <row r="41" spans="1:15" ht="12.75">
      <c r="A41" s="38"/>
      <c r="B41" s="17" t="s">
        <v>12</v>
      </c>
      <c r="C41" s="19"/>
      <c r="E41" s="19"/>
      <c r="F41" s="52"/>
      <c r="G41" s="32"/>
      <c r="H41" s="44"/>
      <c r="I41" s="32"/>
      <c r="J41" s="39"/>
      <c r="K41" s="32"/>
      <c r="L41" s="39"/>
      <c r="M41" s="32"/>
      <c r="N41" s="36"/>
      <c r="O41" s="33"/>
    </row>
    <row r="42" spans="1:15" ht="12.75">
      <c r="A42" s="37" t="s">
        <v>13</v>
      </c>
      <c r="B42" s="68">
        <f>B40+B28</f>
        <v>13484</v>
      </c>
      <c r="C42" s="69">
        <f>C40+C28</f>
        <v>74086.75</v>
      </c>
      <c r="D42" s="68">
        <f>D40+D28</f>
        <v>9863</v>
      </c>
      <c r="E42" s="69">
        <f aca="true" t="shared" si="6" ref="E42:O42">SUM(+E28+E40)</f>
        <v>59787.878</v>
      </c>
      <c r="F42" s="68">
        <f t="shared" si="6"/>
        <v>17629</v>
      </c>
      <c r="G42" s="69">
        <f t="shared" si="6"/>
        <v>47052.501000000004</v>
      </c>
      <c r="H42" s="68">
        <f t="shared" si="6"/>
        <v>17339</v>
      </c>
      <c r="I42" s="69">
        <f t="shared" si="6"/>
        <v>81515.067</v>
      </c>
      <c r="J42" s="68">
        <f t="shared" si="6"/>
        <v>24065</v>
      </c>
      <c r="K42" s="69">
        <f t="shared" si="6"/>
        <v>78855.08800000002</v>
      </c>
      <c r="L42" s="68">
        <f t="shared" si="6"/>
        <v>18785</v>
      </c>
      <c r="M42" s="69">
        <f t="shared" si="6"/>
        <v>41758.004</v>
      </c>
      <c r="N42" s="76">
        <f t="shared" si="6"/>
        <v>101165</v>
      </c>
      <c r="O42" s="77">
        <f t="shared" si="6"/>
        <v>383055.288</v>
      </c>
    </row>
    <row r="43" spans="1:15" ht="12.75">
      <c r="A43" s="66"/>
      <c r="C43" s="2"/>
      <c r="E43" s="40"/>
      <c r="O43" s="53"/>
    </row>
    <row r="44" spans="2:15" ht="15">
      <c r="B44" s="1"/>
      <c r="C44" s="61"/>
      <c r="D44" s="1"/>
      <c r="E44" s="311"/>
      <c r="F44" s="279"/>
      <c r="G44" s="282"/>
      <c r="H44" s="1"/>
      <c r="I44" s="1"/>
      <c r="J44" s="1"/>
      <c r="K44" s="290"/>
      <c r="L44" s="1"/>
      <c r="M44" s="42"/>
      <c r="O44" s="42"/>
    </row>
    <row r="45" spans="1:15" ht="12.75">
      <c r="A45" s="65"/>
      <c r="B45" s="1"/>
      <c r="C45" s="61"/>
      <c r="D45" s="1"/>
      <c r="E45" s="42"/>
      <c r="F45" s="1"/>
      <c r="G45" s="1"/>
      <c r="H45" s="1"/>
      <c r="I45" s="1"/>
      <c r="J45" s="1"/>
      <c r="K45" s="1"/>
      <c r="L45" s="1"/>
      <c r="M45" s="42"/>
      <c r="O45" s="42"/>
    </row>
    <row r="46" spans="2:15" ht="12.75">
      <c r="B46" s="1"/>
      <c r="C46" s="61"/>
      <c r="D46" s="1"/>
      <c r="E46" s="42"/>
      <c r="F46" s="1"/>
      <c r="G46" s="1"/>
      <c r="H46" s="1"/>
      <c r="I46" s="1"/>
      <c r="J46" s="1"/>
      <c r="K46" s="1"/>
      <c r="L46" s="1"/>
      <c r="M46" s="346"/>
      <c r="O46" s="42"/>
    </row>
    <row r="47" spans="2:15" ht="12.75">
      <c r="B47" s="1"/>
      <c r="C47" s="61"/>
      <c r="D47" s="1"/>
      <c r="E47" s="42"/>
      <c r="F47" s="1"/>
      <c r="G47" s="1"/>
      <c r="H47" s="1"/>
      <c r="I47" s="1"/>
      <c r="J47" s="1"/>
      <c r="K47" s="1"/>
      <c r="L47" s="1"/>
      <c r="M47" s="42"/>
      <c r="O47" s="42"/>
    </row>
    <row r="48" spans="2:15" ht="12.75">
      <c r="B48" s="1"/>
      <c r="C48" s="61"/>
      <c r="D48" s="1"/>
      <c r="E48" s="42"/>
      <c r="F48" s="1"/>
      <c r="G48" s="1"/>
      <c r="H48" s="1"/>
      <c r="I48" s="1"/>
      <c r="J48" s="1"/>
      <c r="K48" s="1"/>
      <c r="L48" s="1"/>
      <c r="M48" s="42"/>
      <c r="O48" s="42"/>
    </row>
    <row r="49" spans="2:15" ht="12.75">
      <c r="B49" s="1"/>
      <c r="C49" s="61"/>
      <c r="D49" s="279"/>
      <c r="E49" s="42"/>
      <c r="F49" s="1"/>
      <c r="G49" s="1"/>
      <c r="H49" s="1"/>
      <c r="I49" s="1"/>
      <c r="J49" s="1"/>
      <c r="K49" s="1"/>
      <c r="L49" s="1"/>
      <c r="M49" s="42"/>
      <c r="O49" s="42"/>
    </row>
    <row r="50" spans="2:15" ht="12.75">
      <c r="B50" s="1"/>
      <c r="C50" s="61"/>
      <c r="D50" s="1"/>
      <c r="E50" s="42"/>
      <c r="F50" s="1"/>
      <c r="G50" s="1"/>
      <c r="H50" s="1"/>
      <c r="I50" s="1"/>
      <c r="J50" s="1"/>
      <c r="K50" s="1"/>
      <c r="L50" s="1"/>
      <c r="M50" s="42"/>
      <c r="O50" s="42"/>
    </row>
    <row r="51" spans="2:15" ht="12.75">
      <c r="B51" s="1"/>
      <c r="C51" s="61"/>
      <c r="D51" s="1"/>
      <c r="E51" s="42"/>
      <c r="F51" s="1"/>
      <c r="G51" s="1"/>
      <c r="H51" s="1"/>
      <c r="I51" s="1"/>
      <c r="J51" s="1"/>
      <c r="K51" s="1"/>
      <c r="L51" s="1"/>
      <c r="M51" s="42"/>
      <c r="O51" s="42"/>
    </row>
    <row r="52" spans="2:15" ht="12.75">
      <c r="B52" s="1"/>
      <c r="C52" s="61"/>
      <c r="D52" s="1"/>
      <c r="E52" s="42"/>
      <c r="F52" s="1"/>
      <c r="G52" s="1"/>
      <c r="H52" s="1"/>
      <c r="I52" s="1"/>
      <c r="J52" s="1"/>
      <c r="K52" s="1"/>
      <c r="L52" s="1"/>
      <c r="M52" s="42"/>
      <c r="O52" s="42"/>
    </row>
    <row r="53" spans="2:15" ht="12.75">
      <c r="B53" s="1"/>
      <c r="C53" s="61"/>
      <c r="D53" s="1"/>
      <c r="E53" s="42"/>
      <c r="F53" s="1"/>
      <c r="G53" s="1"/>
      <c r="H53" s="1"/>
      <c r="I53" s="1"/>
      <c r="J53" s="1"/>
      <c r="K53" s="1"/>
      <c r="L53" s="1"/>
      <c r="M53" s="42"/>
      <c r="O53" s="42"/>
    </row>
    <row r="54" spans="2:15" ht="12.75">
      <c r="B54" s="1"/>
      <c r="C54" s="61"/>
      <c r="D54" s="1"/>
      <c r="E54" s="42"/>
      <c r="F54" s="1"/>
      <c r="G54" s="1"/>
      <c r="H54" s="1"/>
      <c r="I54" s="1"/>
      <c r="J54" s="1"/>
      <c r="K54" s="1"/>
      <c r="L54" s="1"/>
      <c r="M54" s="42"/>
      <c r="O54" s="42"/>
    </row>
    <row r="55" spans="2:15" ht="12.75">
      <c r="B55" s="1"/>
      <c r="C55" s="61"/>
      <c r="D55" s="1"/>
      <c r="E55" s="42"/>
      <c r="F55" s="1"/>
      <c r="G55" s="1"/>
      <c r="H55" s="1"/>
      <c r="I55" s="1"/>
      <c r="J55" s="1"/>
      <c r="K55" s="1"/>
      <c r="L55" s="1"/>
      <c r="M55" s="42"/>
      <c r="O55" s="42"/>
    </row>
    <row r="56" spans="2:15" ht="12.75">
      <c r="B56" s="1"/>
      <c r="C56" s="61"/>
      <c r="D56" s="1"/>
      <c r="E56" s="42"/>
      <c r="F56" s="1"/>
      <c r="G56" s="1"/>
      <c r="H56" s="1"/>
      <c r="I56" s="1"/>
      <c r="J56" s="1"/>
      <c r="K56" s="1"/>
      <c r="L56" s="1"/>
      <c r="M56" s="42"/>
      <c r="O56" s="42"/>
    </row>
    <row r="57" spans="2:15" ht="12.75">
      <c r="B57" s="1"/>
      <c r="C57" s="61"/>
      <c r="D57" s="1"/>
      <c r="E57" s="42"/>
      <c r="F57" s="1"/>
      <c r="G57" s="1"/>
      <c r="H57" s="1"/>
      <c r="I57" s="1"/>
      <c r="J57" s="1"/>
      <c r="K57" s="1"/>
      <c r="L57" s="1"/>
      <c r="M57" s="42"/>
      <c r="O57" s="42"/>
    </row>
    <row r="58" spans="2:15" ht="12.75">
      <c r="B58" s="1"/>
      <c r="C58" s="61"/>
      <c r="D58" s="1"/>
      <c r="E58" s="42"/>
      <c r="F58" s="1"/>
      <c r="G58" s="1"/>
      <c r="H58" s="1"/>
      <c r="I58" s="1"/>
      <c r="J58" s="1"/>
      <c r="K58" s="1"/>
      <c r="L58" s="1"/>
      <c r="M58" s="42"/>
      <c r="O58" s="42"/>
    </row>
    <row r="59" spans="2:15" ht="12.75">
      <c r="B59" s="1"/>
      <c r="C59" s="61"/>
      <c r="D59" s="1"/>
      <c r="E59" s="42"/>
      <c r="F59" s="1"/>
      <c r="G59" s="1"/>
      <c r="H59" s="1"/>
      <c r="I59" s="1"/>
      <c r="J59" s="1"/>
      <c r="K59" s="1"/>
      <c r="L59" s="1"/>
      <c r="M59" s="42"/>
      <c r="O59" s="42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42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42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5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3.5" thickBo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5" ht="21.75" thickBot="1" thickTop="1">
      <c r="A66" s="378" t="s">
        <v>212</v>
      </c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80"/>
    </row>
    <row r="67" ht="13.5" thickTop="1"/>
    <row r="68" spans="1:15" ht="12.75">
      <c r="A68" s="4" t="s">
        <v>0</v>
      </c>
      <c r="B68" s="376" t="s">
        <v>14</v>
      </c>
      <c r="C68" s="377"/>
      <c r="D68" s="376" t="s">
        <v>15</v>
      </c>
      <c r="E68" s="377"/>
      <c r="F68" s="376" t="s">
        <v>35</v>
      </c>
      <c r="G68" s="377"/>
      <c r="H68" s="376" t="s">
        <v>36</v>
      </c>
      <c r="I68" s="377"/>
      <c r="J68" s="376" t="s">
        <v>37</v>
      </c>
      <c r="K68" s="377"/>
      <c r="L68" s="376" t="s">
        <v>38</v>
      </c>
      <c r="M68" s="377"/>
      <c r="N68" s="10" t="s">
        <v>7</v>
      </c>
      <c r="O68" s="11"/>
    </row>
    <row r="69" spans="1:15" ht="12.75">
      <c r="A69" s="4" t="s">
        <v>24</v>
      </c>
      <c r="B69" s="13" t="s">
        <v>8</v>
      </c>
      <c r="C69" s="14" t="s">
        <v>9</v>
      </c>
      <c r="D69" s="13" t="s">
        <v>8</v>
      </c>
      <c r="E69" s="14" t="s">
        <v>9</v>
      </c>
      <c r="F69" s="4" t="s">
        <v>8</v>
      </c>
      <c r="G69" s="14" t="s">
        <v>9</v>
      </c>
      <c r="H69" s="4" t="s">
        <v>8</v>
      </c>
      <c r="I69" s="14" t="s">
        <v>9</v>
      </c>
      <c r="J69" s="13" t="s">
        <v>8</v>
      </c>
      <c r="K69" s="14" t="s">
        <v>9</v>
      </c>
      <c r="L69" s="13" t="s">
        <v>8</v>
      </c>
      <c r="M69" s="14" t="s">
        <v>9</v>
      </c>
      <c r="N69" s="15" t="s">
        <v>8</v>
      </c>
      <c r="O69" s="16" t="s">
        <v>9</v>
      </c>
    </row>
    <row r="70" spans="1:17" ht="12.75">
      <c r="A70" s="48" t="s">
        <v>21</v>
      </c>
      <c r="B70" s="45"/>
      <c r="C70" s="18">
        <f>7536.14+10066.82</f>
        <v>17602.96</v>
      </c>
      <c r="D70" s="44"/>
      <c r="E70" s="18">
        <f>20903.82+14900.99+12364.31</f>
        <v>48169.119999999995</v>
      </c>
      <c r="F70" s="45">
        <v>0</v>
      </c>
      <c r="G70" s="18">
        <f>339.32+6357.35+3859.62+7126.15+5517.41</f>
        <v>23199.850000000002</v>
      </c>
      <c r="H70" s="44">
        <v>0</v>
      </c>
      <c r="I70" s="19">
        <f>9501.62+9811.25</f>
        <v>19312.870000000003</v>
      </c>
      <c r="J70" s="45"/>
      <c r="K70" s="18">
        <v>0</v>
      </c>
      <c r="L70" s="44">
        <v>0</v>
      </c>
      <c r="M70" s="19">
        <f>18996.07+11594.86</f>
        <v>30590.93</v>
      </c>
      <c r="N70" s="51">
        <f aca="true" t="shared" si="7" ref="N70:N84">N12+B70+D70+F70+H70+J70+L70</f>
        <v>0</v>
      </c>
      <c r="O70" s="20">
        <f aca="true" t="shared" si="8" ref="O70:O84">O12+C70+E70+G70+I70+K70+M70</f>
        <v>270137.04</v>
      </c>
      <c r="Q70" s="42"/>
    </row>
    <row r="71" spans="1:15" ht="12.75">
      <c r="A71" s="48" t="s">
        <v>31</v>
      </c>
      <c r="B71" s="45"/>
      <c r="C71" s="18">
        <v>0</v>
      </c>
      <c r="D71" s="44"/>
      <c r="E71" s="18">
        <v>0</v>
      </c>
      <c r="F71" s="45">
        <v>0</v>
      </c>
      <c r="G71" s="18">
        <f>8504.48+5839.44+6455.49</f>
        <v>20799.409999999996</v>
      </c>
      <c r="H71" s="44">
        <v>0</v>
      </c>
      <c r="I71" s="19">
        <v>0</v>
      </c>
      <c r="J71" s="30"/>
      <c r="K71" s="18">
        <v>0</v>
      </c>
      <c r="L71" s="44">
        <v>0</v>
      </c>
      <c r="M71" s="19">
        <f>25466.13</f>
        <v>25466.13</v>
      </c>
      <c r="N71" s="51">
        <f t="shared" si="7"/>
        <v>0</v>
      </c>
      <c r="O71" s="20">
        <f>C13+E13+G13+I13+K13+M13+C71+E71+G71+I71+K71+M71</f>
        <v>101061.97</v>
      </c>
    </row>
    <row r="72" spans="1:15" ht="12.75">
      <c r="A72" s="48" t="s">
        <v>22</v>
      </c>
      <c r="B72" s="45"/>
      <c r="C72" s="18">
        <v>0</v>
      </c>
      <c r="D72" s="44"/>
      <c r="E72" s="18"/>
      <c r="F72" s="45">
        <v>0</v>
      </c>
      <c r="G72" s="18">
        <v>0</v>
      </c>
      <c r="H72" s="44">
        <v>0</v>
      </c>
      <c r="I72" s="19">
        <v>0</v>
      </c>
      <c r="J72" s="45"/>
      <c r="K72" s="18">
        <v>0</v>
      </c>
      <c r="L72" s="44"/>
      <c r="M72" s="19"/>
      <c r="N72" s="51">
        <f t="shared" si="7"/>
        <v>0</v>
      </c>
      <c r="O72" s="20">
        <f>O14+C72+E72+G72+I72+K72+M72</f>
        <v>5976.83</v>
      </c>
    </row>
    <row r="73" spans="1:15" ht="12.75">
      <c r="A73" s="48" t="s">
        <v>23</v>
      </c>
      <c r="B73" s="45"/>
      <c r="C73" s="18">
        <v>18730.32</v>
      </c>
      <c r="D73" s="44"/>
      <c r="E73" s="18"/>
      <c r="F73" s="45">
        <v>0</v>
      </c>
      <c r="G73" s="18">
        <f>766.47+1758.32+5138.23+2788.17+4517.79+3885.27</f>
        <v>18854.25</v>
      </c>
      <c r="H73" s="44">
        <v>0</v>
      </c>
      <c r="I73" s="19">
        <v>18568.13</v>
      </c>
      <c r="J73" s="45">
        <v>0</v>
      </c>
      <c r="K73" s="18">
        <f>10543.35</f>
        <v>10543.35</v>
      </c>
      <c r="L73" s="44"/>
      <c r="M73" s="19"/>
      <c r="N73" s="51">
        <f t="shared" si="7"/>
        <v>0</v>
      </c>
      <c r="O73" s="20">
        <f t="shared" si="8"/>
        <v>104315.01000000001</v>
      </c>
    </row>
    <row r="74" spans="1:15" ht="12.75">
      <c r="A74" s="48" t="s">
        <v>25</v>
      </c>
      <c r="B74" s="30">
        <v>1389</v>
      </c>
      <c r="C74" s="18">
        <v>54.624</v>
      </c>
      <c r="D74" s="31">
        <v>3840</v>
      </c>
      <c r="E74" s="18">
        <v>40.598</v>
      </c>
      <c r="F74" s="30">
        <v>876</v>
      </c>
      <c r="G74" s="18">
        <f>45.565+0.006</f>
        <v>45.571</v>
      </c>
      <c r="H74" s="31">
        <v>1344</v>
      </c>
      <c r="I74" s="19">
        <v>53.825</v>
      </c>
      <c r="J74" s="30">
        <v>898</v>
      </c>
      <c r="K74" s="18">
        <v>51.241</v>
      </c>
      <c r="L74" s="31">
        <f>1008+7</f>
        <v>1015</v>
      </c>
      <c r="M74" s="19">
        <f>66.721+0.3</f>
        <v>67.021</v>
      </c>
      <c r="N74" s="51">
        <f t="shared" si="7"/>
        <v>13799</v>
      </c>
      <c r="O74" s="20">
        <f>O16+C74+E74+G74+I74+K74+M74</f>
        <v>840.095</v>
      </c>
    </row>
    <row r="75" spans="1:15" ht="12.75">
      <c r="A75" s="48" t="s">
        <v>47</v>
      </c>
      <c r="B75" s="30"/>
      <c r="C75" s="18">
        <v>0</v>
      </c>
      <c r="D75" s="31"/>
      <c r="E75" s="18"/>
      <c r="F75" s="45">
        <v>0</v>
      </c>
      <c r="G75" s="18">
        <v>0</v>
      </c>
      <c r="H75" s="44">
        <v>0</v>
      </c>
      <c r="I75" s="19">
        <v>0</v>
      </c>
      <c r="J75" s="45"/>
      <c r="K75" s="18">
        <v>0</v>
      </c>
      <c r="L75" s="31"/>
      <c r="M75" s="19"/>
      <c r="N75" s="51">
        <f t="shared" si="7"/>
        <v>0</v>
      </c>
      <c r="O75" s="20">
        <f t="shared" si="8"/>
        <v>0</v>
      </c>
    </row>
    <row r="76" spans="1:15" ht="12.75">
      <c r="A76" s="49" t="s">
        <v>28</v>
      </c>
      <c r="B76" s="30"/>
      <c r="C76" s="18">
        <v>0</v>
      </c>
      <c r="D76" s="31"/>
      <c r="E76" s="18"/>
      <c r="F76" s="30">
        <v>0</v>
      </c>
      <c r="G76" s="18">
        <v>0</v>
      </c>
      <c r="H76" s="31">
        <v>0</v>
      </c>
      <c r="I76" s="19">
        <v>0</v>
      </c>
      <c r="J76" s="30"/>
      <c r="K76" s="18">
        <v>0</v>
      </c>
      <c r="L76" s="31"/>
      <c r="M76" s="19"/>
      <c r="N76" s="51">
        <f t="shared" si="7"/>
        <v>178</v>
      </c>
      <c r="O76" s="20">
        <f>O18+C76+E76+G76+I76+K76+M76</f>
        <v>2457.202</v>
      </c>
    </row>
    <row r="77" spans="1:15" ht="12.75">
      <c r="A77" s="49" t="s">
        <v>188</v>
      </c>
      <c r="B77" s="30"/>
      <c r="C77" s="18">
        <v>0</v>
      </c>
      <c r="D77" s="31"/>
      <c r="E77" s="19"/>
      <c r="F77" s="30">
        <v>0</v>
      </c>
      <c r="G77" s="18">
        <v>0</v>
      </c>
      <c r="H77" s="31">
        <v>0</v>
      </c>
      <c r="I77" s="19">
        <v>0</v>
      </c>
      <c r="J77" s="45"/>
      <c r="K77" s="18">
        <v>0</v>
      </c>
      <c r="L77" s="44"/>
      <c r="M77" s="19"/>
      <c r="N77" s="51">
        <f t="shared" si="7"/>
        <v>0</v>
      </c>
      <c r="O77" s="20">
        <f t="shared" si="8"/>
        <v>0</v>
      </c>
    </row>
    <row r="78" spans="1:15" ht="12.75">
      <c r="A78" s="49" t="s">
        <v>30</v>
      </c>
      <c r="B78" s="45"/>
      <c r="C78" s="18">
        <v>0</v>
      </c>
      <c r="D78" s="31"/>
      <c r="E78" s="19">
        <f>10117.51</f>
        <v>10117.51</v>
      </c>
      <c r="F78" s="45">
        <v>0</v>
      </c>
      <c r="G78" s="18">
        <v>0</v>
      </c>
      <c r="H78" s="31">
        <v>0</v>
      </c>
      <c r="I78" s="19">
        <v>0</v>
      </c>
      <c r="J78" s="45"/>
      <c r="K78" s="18">
        <v>10221.27</v>
      </c>
      <c r="L78" s="44"/>
      <c r="M78" s="19"/>
      <c r="N78" s="51">
        <f t="shared" si="7"/>
        <v>0</v>
      </c>
      <c r="O78" s="20">
        <f t="shared" si="8"/>
        <v>30440.780000000002</v>
      </c>
    </row>
    <row r="79" spans="1:15" ht="12.75" customHeight="1">
      <c r="A79" s="49" t="s">
        <v>34</v>
      </c>
      <c r="B79" s="45"/>
      <c r="C79" s="18">
        <v>0</v>
      </c>
      <c r="D79" s="31"/>
      <c r="E79" s="19"/>
      <c r="F79" s="30">
        <v>0</v>
      </c>
      <c r="G79" s="18">
        <v>0</v>
      </c>
      <c r="H79" s="31">
        <v>0</v>
      </c>
      <c r="I79" s="19">
        <v>0</v>
      </c>
      <c r="J79" s="45"/>
      <c r="K79" s="18">
        <v>0</v>
      </c>
      <c r="L79" s="44"/>
      <c r="M79" s="19"/>
      <c r="N79" s="51">
        <f t="shared" si="7"/>
        <v>0</v>
      </c>
      <c r="O79" s="20">
        <f t="shared" si="8"/>
        <v>0</v>
      </c>
    </row>
    <row r="80" spans="1:15" ht="12.75">
      <c r="A80" s="49" t="s">
        <v>401</v>
      </c>
      <c r="B80" s="30">
        <v>3038</v>
      </c>
      <c r="C80" s="18">
        <v>12466.62</v>
      </c>
      <c r="D80" s="31">
        <f>1078</f>
        <v>1078</v>
      </c>
      <c r="E80" s="19">
        <f>2862.52</f>
        <v>2862.52</v>
      </c>
      <c r="F80" s="31">
        <v>0</v>
      </c>
      <c r="G80" s="18">
        <v>0</v>
      </c>
      <c r="H80" s="31">
        <v>0</v>
      </c>
      <c r="I80" s="19">
        <v>0</v>
      </c>
      <c r="J80" s="30"/>
      <c r="K80" s="18">
        <v>0</v>
      </c>
      <c r="L80" s="31"/>
      <c r="M80" s="19"/>
      <c r="N80" s="51">
        <f t="shared" si="7"/>
        <v>30423</v>
      </c>
      <c r="O80" s="20">
        <f>O22+C80+E80+G80+I80+K80+M80</f>
        <v>120406.999</v>
      </c>
    </row>
    <row r="81" spans="1:15" ht="12.75">
      <c r="A81" s="49" t="s">
        <v>20</v>
      </c>
      <c r="B81" s="30">
        <f>1017+600+1605</f>
        <v>3222</v>
      </c>
      <c r="C81" s="18">
        <f>1921.873+540.44+1425.19</f>
        <v>3887.503</v>
      </c>
      <c r="D81" s="31">
        <f>882+403</f>
        <v>1285</v>
      </c>
      <c r="E81" s="19">
        <f>794.244+362.941</f>
        <v>1157.185</v>
      </c>
      <c r="F81" s="31">
        <f>745+359+450</f>
        <v>1554</v>
      </c>
      <c r="G81" s="18">
        <f>1044.281+503.055+405.29</f>
        <v>1952.626</v>
      </c>
      <c r="H81" s="31">
        <f>500+499+486+1000</f>
        <v>2485</v>
      </c>
      <c r="I81" s="19">
        <f>450.1+685.205+437.746+900.6</f>
        <v>2473.651</v>
      </c>
      <c r="J81" s="30">
        <f>225</f>
        <v>225</v>
      </c>
      <c r="K81" s="18">
        <f>306.758</f>
        <v>306.758</v>
      </c>
      <c r="L81" s="31">
        <f>260</f>
        <v>260</v>
      </c>
      <c r="M81" s="19">
        <f>234.16</f>
        <v>234.16</v>
      </c>
      <c r="N81" s="51">
        <f t="shared" si="7"/>
        <v>17877</v>
      </c>
      <c r="O81" s="20">
        <f>O23+C81+E81+G81+I81+K81+M81</f>
        <v>19732.355</v>
      </c>
    </row>
    <row r="82" spans="1:15" ht="12.75">
      <c r="A82" s="49" t="s">
        <v>167</v>
      </c>
      <c r="B82" s="30"/>
      <c r="C82" s="18">
        <v>0</v>
      </c>
      <c r="D82" s="31"/>
      <c r="E82" s="19"/>
      <c r="F82" s="31">
        <v>0</v>
      </c>
      <c r="G82" s="18">
        <v>0</v>
      </c>
      <c r="H82" s="31">
        <v>0</v>
      </c>
      <c r="I82" s="19">
        <v>0</v>
      </c>
      <c r="J82" s="30"/>
      <c r="K82" s="18">
        <v>0</v>
      </c>
      <c r="L82" s="31"/>
      <c r="M82" s="19"/>
      <c r="N82" s="51">
        <f t="shared" si="7"/>
        <v>1</v>
      </c>
      <c r="O82" s="20">
        <f>O24+C82+E82+G82+I82+K82+M82</f>
        <v>3.46</v>
      </c>
    </row>
    <row r="83" spans="1:15" ht="12.75">
      <c r="A83" s="49" t="s">
        <v>168</v>
      </c>
      <c r="B83" s="30"/>
      <c r="C83" s="18">
        <v>0</v>
      </c>
      <c r="D83" s="31"/>
      <c r="E83" s="19"/>
      <c r="F83" s="31">
        <v>0</v>
      </c>
      <c r="G83" s="18">
        <v>0</v>
      </c>
      <c r="H83" s="31">
        <v>0</v>
      </c>
      <c r="I83" s="19">
        <v>0</v>
      </c>
      <c r="J83" s="30"/>
      <c r="K83" s="18">
        <v>0</v>
      </c>
      <c r="L83" s="31"/>
      <c r="M83" s="19"/>
      <c r="N83" s="51">
        <f t="shared" si="7"/>
        <v>32</v>
      </c>
      <c r="O83" s="20">
        <f>O25+C83+E83+G83+I83+K83+M83</f>
        <v>360.111</v>
      </c>
    </row>
    <row r="84" spans="1:15" ht="12.75">
      <c r="A84" s="49" t="s">
        <v>46</v>
      </c>
      <c r="B84" s="30"/>
      <c r="C84" s="18">
        <v>0</v>
      </c>
      <c r="D84" s="31"/>
      <c r="E84" s="19"/>
      <c r="F84" s="31">
        <v>0</v>
      </c>
      <c r="G84" s="18">
        <v>0</v>
      </c>
      <c r="H84" s="31">
        <v>0</v>
      </c>
      <c r="I84" s="19">
        <v>0</v>
      </c>
      <c r="J84" s="45"/>
      <c r="K84" s="18">
        <v>0</v>
      </c>
      <c r="L84" s="31"/>
      <c r="M84" s="19"/>
      <c r="N84" s="51">
        <f t="shared" si="7"/>
        <v>0</v>
      </c>
      <c r="O84" s="20">
        <f t="shared" si="8"/>
        <v>0</v>
      </c>
    </row>
    <row r="85" spans="1:15" ht="12.75" customHeight="1">
      <c r="A85" s="49" t="s">
        <v>182</v>
      </c>
      <c r="B85" s="30"/>
      <c r="C85" s="18">
        <v>0</v>
      </c>
      <c r="D85" s="31"/>
      <c r="E85" s="19"/>
      <c r="F85" s="31">
        <v>0</v>
      </c>
      <c r="G85" s="18">
        <v>0</v>
      </c>
      <c r="H85" s="31">
        <v>0</v>
      </c>
      <c r="I85" s="19">
        <v>0</v>
      </c>
      <c r="J85" s="45"/>
      <c r="K85" s="18">
        <v>0</v>
      </c>
      <c r="L85" s="31"/>
      <c r="M85" s="19"/>
      <c r="N85" s="51">
        <f>N27+B85+D85+F85+H85+J85+L85</f>
        <v>0</v>
      </c>
      <c r="O85" s="20">
        <f>SUM(O27+C85+E85+G85+I85+K85+M85)</f>
        <v>0</v>
      </c>
    </row>
    <row r="86" spans="1:15" ht="12.75" customHeight="1">
      <c r="A86" s="49" t="s">
        <v>195</v>
      </c>
      <c r="B86" s="30"/>
      <c r="C86" s="18">
        <v>0</v>
      </c>
      <c r="D86" s="31"/>
      <c r="E86" s="19"/>
      <c r="F86" s="31">
        <v>0</v>
      </c>
      <c r="G86" s="18">
        <v>0</v>
      </c>
      <c r="H86" s="31">
        <v>0</v>
      </c>
      <c r="I86" s="19">
        <v>0</v>
      </c>
      <c r="J86" s="45"/>
      <c r="K86" s="18">
        <v>0</v>
      </c>
      <c r="L86" s="31"/>
      <c r="M86" s="19"/>
      <c r="N86" s="51">
        <v>0</v>
      </c>
      <c r="O86" s="20">
        <f>K86+M86</f>
        <v>0</v>
      </c>
    </row>
    <row r="87" spans="1:15" ht="12.75">
      <c r="A87" s="12" t="s">
        <v>10</v>
      </c>
      <c r="B87" s="70">
        <f aca="true" t="shared" si="9" ref="B87:O87">SUM(B70:B86)</f>
        <v>7649</v>
      </c>
      <c r="C87" s="71">
        <f t="shared" si="9"/>
        <v>52742.027</v>
      </c>
      <c r="D87" s="70">
        <f t="shared" si="9"/>
        <v>6203</v>
      </c>
      <c r="E87" s="71">
        <f t="shared" si="9"/>
        <v>62346.93299999999</v>
      </c>
      <c r="F87" s="73">
        <f t="shared" si="9"/>
        <v>2430</v>
      </c>
      <c r="G87" s="74">
        <f t="shared" si="9"/>
        <v>64851.706999999995</v>
      </c>
      <c r="H87" s="70">
        <f t="shared" si="9"/>
        <v>3829</v>
      </c>
      <c r="I87" s="74">
        <f t="shared" si="9"/>
        <v>40408.475999999995</v>
      </c>
      <c r="J87" s="70">
        <f t="shared" si="9"/>
        <v>1123</v>
      </c>
      <c r="K87" s="74">
        <f>SUM(K70:K86)</f>
        <v>21122.619000000002</v>
      </c>
      <c r="L87" s="70">
        <f t="shared" si="9"/>
        <v>1275</v>
      </c>
      <c r="M87" s="75">
        <f t="shared" si="9"/>
        <v>56358.241</v>
      </c>
      <c r="N87" s="70">
        <f t="shared" si="9"/>
        <v>62310</v>
      </c>
      <c r="O87" s="74">
        <f t="shared" si="9"/>
        <v>655731.852</v>
      </c>
    </row>
    <row r="88" spans="1:15" ht="12.75">
      <c r="A88" s="24"/>
      <c r="B88" s="25"/>
      <c r="C88" s="26"/>
      <c r="D88" s="25"/>
      <c r="E88" s="26"/>
      <c r="F88" s="25"/>
      <c r="G88" s="27"/>
      <c r="H88" s="25"/>
      <c r="I88" s="27"/>
      <c r="J88" s="25"/>
      <c r="K88" s="27"/>
      <c r="L88" s="25"/>
      <c r="M88" s="27"/>
      <c r="N88" s="28"/>
      <c r="O88" s="28"/>
    </row>
    <row r="89" spans="1:15" ht="12.75">
      <c r="A89" s="4" t="s">
        <v>0</v>
      </c>
      <c r="B89" s="376" t="s">
        <v>14</v>
      </c>
      <c r="C89" s="377"/>
      <c r="D89" s="376" t="s">
        <v>15</v>
      </c>
      <c r="E89" s="377"/>
      <c r="F89" s="376" t="s">
        <v>35</v>
      </c>
      <c r="G89" s="377"/>
      <c r="H89" s="376" t="s">
        <v>36</v>
      </c>
      <c r="I89" s="377"/>
      <c r="J89" s="376" t="s">
        <v>37</v>
      </c>
      <c r="K89" s="377"/>
      <c r="L89" s="376" t="s">
        <v>38</v>
      </c>
      <c r="M89" s="377"/>
      <c r="N89" s="10" t="s">
        <v>19</v>
      </c>
      <c r="O89" s="11"/>
    </row>
    <row r="90" spans="1:16" ht="12.75">
      <c r="A90" s="12" t="s">
        <v>11</v>
      </c>
      <c r="B90" s="13" t="s">
        <v>8</v>
      </c>
      <c r="C90" s="29" t="s">
        <v>9</v>
      </c>
      <c r="D90" s="13" t="s">
        <v>8</v>
      </c>
      <c r="E90" s="29" t="s">
        <v>9</v>
      </c>
      <c r="F90" s="13" t="s">
        <v>8</v>
      </c>
      <c r="G90" s="14" t="s">
        <v>9</v>
      </c>
      <c r="H90" s="4" t="s">
        <v>8</v>
      </c>
      <c r="I90" s="14" t="s">
        <v>9</v>
      </c>
      <c r="J90" s="4" t="s">
        <v>8</v>
      </c>
      <c r="K90" s="14" t="s">
        <v>9</v>
      </c>
      <c r="L90" s="4" t="s">
        <v>8</v>
      </c>
      <c r="M90" s="14" t="s">
        <v>9</v>
      </c>
      <c r="N90" s="15" t="s">
        <v>8</v>
      </c>
      <c r="O90" s="16" t="s">
        <v>9</v>
      </c>
      <c r="P90" s="42"/>
    </row>
    <row r="91" spans="1:15" ht="12.75">
      <c r="A91" s="22" t="s">
        <v>20</v>
      </c>
      <c r="B91" s="30">
        <f>680+628+499+664</f>
        <v>2471</v>
      </c>
      <c r="C91" s="62">
        <f>747.142+1211.1+492.668+1286.476</f>
        <v>3737.386</v>
      </c>
      <c r="D91" s="39">
        <f>120+139+516+959</f>
        <v>1734</v>
      </c>
      <c r="E91" s="63">
        <f>237.382+171.884+574.886+1118.613</f>
        <v>2102.765</v>
      </c>
      <c r="F91" s="31">
        <f>798+180+50+559+20+234</f>
        <v>1841</v>
      </c>
      <c r="G91" s="32">
        <f>1467.912+201.06+47.243+1099.69+462.965+26.44</f>
        <v>3305.31</v>
      </c>
      <c r="H91" s="47">
        <f>80+1397+402+318+600+80+456+460</f>
        <v>3793</v>
      </c>
      <c r="I91" s="32">
        <f>95.1+2572.644+792.776+629.842+610.319+79.646+771.598+518.06</f>
        <v>6069.984999999999</v>
      </c>
      <c r="J91" s="47">
        <f>239+598+514</f>
        <v>1351</v>
      </c>
      <c r="K91" s="32">
        <f>454.962+596.443+850.275</f>
        <v>1901.6799999999998</v>
      </c>
      <c r="L91" s="47">
        <f>499+468+827+688+1186</f>
        <v>3668</v>
      </c>
      <c r="M91" s="32">
        <f>828+892.982+1370.076+950.47+2048.928</f>
        <v>6090.456</v>
      </c>
      <c r="N91" s="50">
        <f aca="true" t="shared" si="10" ref="N91:O95">N32+B91+D91+F91+H91+J91+L91</f>
        <v>22374</v>
      </c>
      <c r="O91" s="33">
        <f t="shared" si="10"/>
        <v>31714.140999999996</v>
      </c>
    </row>
    <row r="92" spans="1:15" ht="12.75">
      <c r="A92" s="22" t="s">
        <v>25</v>
      </c>
      <c r="B92" s="30">
        <v>10560</v>
      </c>
      <c r="C92" s="62">
        <v>2839.411</v>
      </c>
      <c r="D92" s="30">
        <f>378+6644</f>
        <v>7022</v>
      </c>
      <c r="E92" s="63">
        <f>8.79+372.604</f>
        <v>381.394</v>
      </c>
      <c r="F92" s="31">
        <v>6449</v>
      </c>
      <c r="G92" s="32">
        <v>302.567</v>
      </c>
      <c r="H92" s="47">
        <v>9703</v>
      </c>
      <c r="I92" s="32">
        <v>277.478</v>
      </c>
      <c r="J92" s="47">
        <f>11384+525</f>
        <v>11909</v>
      </c>
      <c r="K92" s="41">
        <f>379.53+11.648</f>
        <v>391.178</v>
      </c>
      <c r="L92" s="31">
        <f>7972+85</f>
        <v>8057</v>
      </c>
      <c r="M92" s="32">
        <f>348.964+2.298</f>
        <v>351.262</v>
      </c>
      <c r="N92" s="50">
        <f t="shared" si="10"/>
        <v>104084</v>
      </c>
      <c r="O92" s="33">
        <f t="shared" si="10"/>
        <v>6733.758</v>
      </c>
    </row>
    <row r="93" spans="1:15" ht="12.75">
      <c r="A93" s="22" t="s">
        <v>29</v>
      </c>
      <c r="B93" s="30"/>
      <c r="C93" s="62">
        <v>0</v>
      </c>
      <c r="D93" s="30"/>
      <c r="E93" s="63"/>
      <c r="F93" s="31">
        <v>0</v>
      </c>
      <c r="G93" s="32">
        <v>0</v>
      </c>
      <c r="H93" s="31">
        <v>0</v>
      </c>
      <c r="I93" s="32">
        <v>0</v>
      </c>
      <c r="J93" s="47">
        <v>0</v>
      </c>
      <c r="K93" s="32">
        <v>0</v>
      </c>
      <c r="L93" s="31"/>
      <c r="M93" s="32"/>
      <c r="N93" s="50">
        <f t="shared" si="10"/>
        <v>3307</v>
      </c>
      <c r="O93" s="33">
        <f t="shared" si="10"/>
        <v>929.66</v>
      </c>
    </row>
    <row r="94" spans="1:15" ht="12.75">
      <c r="A94" s="34" t="s">
        <v>26</v>
      </c>
      <c r="B94" s="30">
        <v>227</v>
      </c>
      <c r="C94" s="64">
        <v>1305.287</v>
      </c>
      <c r="D94" s="30">
        <f>33+91+23</f>
        <v>147</v>
      </c>
      <c r="E94" s="63">
        <f>418.29+992.11+369.61</f>
        <v>1780.0100000000002</v>
      </c>
      <c r="F94" s="31">
        <f>26+62</f>
        <v>88</v>
      </c>
      <c r="G94" s="32">
        <f>810.602+490.863</f>
        <v>1301.465</v>
      </c>
      <c r="H94" s="35">
        <v>92</v>
      </c>
      <c r="I94" s="32">
        <v>1298.1</v>
      </c>
      <c r="J94" s="47">
        <v>0</v>
      </c>
      <c r="K94" s="32">
        <v>0</v>
      </c>
      <c r="L94" s="31">
        <f>4</f>
        <v>4</v>
      </c>
      <c r="M94" s="32">
        <f>6.7+196</f>
        <v>202.7</v>
      </c>
      <c r="N94" s="50">
        <f t="shared" si="10"/>
        <v>645</v>
      </c>
      <c r="O94" s="33">
        <f>O35+C94+E94+G94+I94+K94+M94</f>
        <v>6650.4839999999995</v>
      </c>
    </row>
    <row r="95" spans="1:15" ht="12.75">
      <c r="A95" s="22" t="s">
        <v>27</v>
      </c>
      <c r="B95" s="30"/>
      <c r="C95" s="62">
        <v>0</v>
      </c>
      <c r="D95" s="30"/>
      <c r="E95" s="63"/>
      <c r="F95" s="31">
        <v>0</v>
      </c>
      <c r="G95" s="32">
        <v>0</v>
      </c>
      <c r="H95" s="31">
        <v>0</v>
      </c>
      <c r="I95" s="32">
        <v>0</v>
      </c>
      <c r="J95" s="47">
        <v>0</v>
      </c>
      <c r="K95" s="32">
        <v>0</v>
      </c>
      <c r="L95" s="31"/>
      <c r="M95" s="32"/>
      <c r="N95" s="50">
        <f t="shared" si="10"/>
        <v>70</v>
      </c>
      <c r="O95" s="33">
        <f t="shared" si="10"/>
        <v>74.02</v>
      </c>
    </row>
    <row r="96" spans="1:15" ht="12.75">
      <c r="A96" s="22" t="s">
        <v>169</v>
      </c>
      <c r="B96" s="30"/>
      <c r="C96" s="62">
        <v>0</v>
      </c>
      <c r="D96" s="30">
        <v>1</v>
      </c>
      <c r="E96" s="63">
        <v>35.37</v>
      </c>
      <c r="F96" s="31">
        <v>27</v>
      </c>
      <c r="G96" s="32">
        <v>256.51</v>
      </c>
      <c r="H96" s="31">
        <v>0</v>
      </c>
      <c r="I96" s="32">
        <v>0</v>
      </c>
      <c r="J96" s="43">
        <v>0</v>
      </c>
      <c r="K96" s="32">
        <v>0</v>
      </c>
      <c r="L96" s="31">
        <f>3</f>
        <v>3</v>
      </c>
      <c r="M96" s="32">
        <f>37.41</f>
        <v>37.41</v>
      </c>
      <c r="N96" s="50">
        <f>SUM(B96,D96,F96,H96,J96,L96)</f>
        <v>31</v>
      </c>
      <c r="O96" s="33">
        <f>SUM(C96,E96,G96,I96,K96,M96)</f>
        <v>329.28999999999996</v>
      </c>
    </row>
    <row r="97" spans="1:15" ht="12.75">
      <c r="A97" s="22" t="s">
        <v>402</v>
      </c>
      <c r="B97" s="30"/>
      <c r="C97" s="62">
        <v>0</v>
      </c>
      <c r="D97" s="30">
        <v>8</v>
      </c>
      <c r="E97" s="63">
        <v>163.43</v>
      </c>
      <c r="F97" s="31">
        <v>0</v>
      </c>
      <c r="G97" s="32">
        <v>0</v>
      </c>
      <c r="H97" s="44">
        <v>0</v>
      </c>
      <c r="I97" s="32">
        <v>0</v>
      </c>
      <c r="J97" s="43">
        <v>0</v>
      </c>
      <c r="K97" s="32">
        <v>0</v>
      </c>
      <c r="L97" s="44"/>
      <c r="M97" s="32"/>
      <c r="N97" s="50">
        <f>N37+B97+D97+F97+H97+J97+L97</f>
        <v>8</v>
      </c>
      <c r="O97" s="33">
        <f>O37+C97+E97+G97+I97+K97+M97</f>
        <v>163.43</v>
      </c>
    </row>
    <row r="98" spans="1:15" ht="12.75">
      <c r="A98" s="22" t="s">
        <v>187</v>
      </c>
      <c r="B98" s="30"/>
      <c r="C98" s="62">
        <v>0</v>
      </c>
      <c r="D98" s="30"/>
      <c r="E98" s="63"/>
      <c r="F98" s="31">
        <v>0</v>
      </c>
      <c r="G98" s="32">
        <v>0</v>
      </c>
      <c r="H98" s="31">
        <v>0</v>
      </c>
      <c r="I98" s="32">
        <v>0</v>
      </c>
      <c r="J98" s="47">
        <v>0</v>
      </c>
      <c r="K98" s="32">
        <v>0</v>
      </c>
      <c r="L98" s="31"/>
      <c r="M98" s="32"/>
      <c r="N98" s="50">
        <f>N38+B98+D98+F98+H98+J98+L98</f>
        <v>0</v>
      </c>
      <c r="O98" s="33">
        <f>O38+C98+E98+G98+I98+K98+M98</f>
        <v>0</v>
      </c>
    </row>
    <row r="99" spans="1:15" ht="12" customHeight="1">
      <c r="A99" s="49" t="s">
        <v>182</v>
      </c>
      <c r="B99" s="30"/>
      <c r="C99" s="62">
        <f>358.89+448.41+509.32+325.97+895.08</f>
        <v>2537.67</v>
      </c>
      <c r="D99" s="30"/>
      <c r="E99" s="63">
        <f>413.32+330.66+299.88+850.75+660</f>
        <v>2554.61</v>
      </c>
      <c r="F99" s="31">
        <v>0</v>
      </c>
      <c r="G99" s="32">
        <v>0</v>
      </c>
      <c r="H99" s="31">
        <v>0</v>
      </c>
      <c r="I99" s="32">
        <v>0</v>
      </c>
      <c r="J99" s="47">
        <v>0</v>
      </c>
      <c r="K99" s="32">
        <v>0</v>
      </c>
      <c r="L99" s="31"/>
      <c r="M99" s="32"/>
      <c r="N99" s="50">
        <f>SUM(N39+B99+D99+F99+H99+J99+L99)</f>
        <v>0</v>
      </c>
      <c r="O99" s="33">
        <f>SUM(O39,C99,E99,G99,I99,K99,M99)</f>
        <v>17782.09</v>
      </c>
    </row>
    <row r="100" spans="1:15" ht="12" customHeight="1">
      <c r="A100" s="49" t="s">
        <v>196</v>
      </c>
      <c r="B100" s="30"/>
      <c r="C100" s="62">
        <v>0</v>
      </c>
      <c r="D100" s="30"/>
      <c r="E100" s="63"/>
      <c r="F100" s="31">
        <v>0</v>
      </c>
      <c r="G100" s="32">
        <v>0</v>
      </c>
      <c r="H100" s="31">
        <v>0</v>
      </c>
      <c r="I100" s="32">
        <v>0</v>
      </c>
      <c r="J100" s="47">
        <v>0</v>
      </c>
      <c r="K100" s="32">
        <v>0</v>
      </c>
      <c r="L100" s="31"/>
      <c r="M100" s="32"/>
      <c r="N100" s="50">
        <f>J100</f>
        <v>0</v>
      </c>
      <c r="O100" s="33">
        <f>K100</f>
        <v>0</v>
      </c>
    </row>
    <row r="101" spans="1:15" ht="12.75">
      <c r="A101" s="12" t="s">
        <v>10</v>
      </c>
      <c r="B101" s="70">
        <f>SUM(B91:B100)</f>
        <v>13258</v>
      </c>
      <c r="C101" s="71">
        <f>SUM(C91:C100)</f>
        <v>10419.754</v>
      </c>
      <c r="D101" s="70">
        <f>SUM(D91:D100)</f>
        <v>8912</v>
      </c>
      <c r="E101" s="72">
        <f>SUM(E91:E99)</f>
        <v>7017.579</v>
      </c>
      <c r="F101" s="70">
        <f aca="true" t="shared" si="11" ref="F101:K101">SUM(F91:F100)</f>
        <v>8405</v>
      </c>
      <c r="G101" s="74">
        <f t="shared" si="11"/>
        <v>5165.852</v>
      </c>
      <c r="H101" s="70">
        <f t="shared" si="11"/>
        <v>13588</v>
      </c>
      <c r="I101" s="74">
        <f t="shared" si="11"/>
        <v>7645.562999999998</v>
      </c>
      <c r="J101" s="70">
        <f t="shared" si="11"/>
        <v>13260</v>
      </c>
      <c r="K101" s="74">
        <f t="shared" si="11"/>
        <v>2292.8579999999997</v>
      </c>
      <c r="L101" s="70">
        <f>SUM(L91:L99)</f>
        <v>11732</v>
      </c>
      <c r="M101" s="74">
        <f>SUM(M91:M99)</f>
        <v>6681.8279999999995</v>
      </c>
      <c r="N101" s="70">
        <f>SUM(N91:N100)</f>
        <v>130519</v>
      </c>
      <c r="O101" s="74">
        <f>SUM(O91:O100)</f>
        <v>64376.87299999999</v>
      </c>
    </row>
    <row r="102" spans="1:15" ht="12.75">
      <c r="A102" s="38"/>
      <c r="B102" s="17" t="s">
        <v>12</v>
      </c>
      <c r="C102" s="19"/>
      <c r="E102" s="19"/>
      <c r="F102" s="52"/>
      <c r="G102" s="32"/>
      <c r="H102" s="44"/>
      <c r="I102" s="32"/>
      <c r="J102" s="39"/>
      <c r="K102" s="32"/>
      <c r="L102" s="39"/>
      <c r="M102" s="32"/>
      <c r="N102" s="36"/>
      <c r="O102" s="33"/>
    </row>
    <row r="103" spans="1:15" ht="12.75">
      <c r="A103" s="37" t="s">
        <v>13</v>
      </c>
      <c r="B103" s="68">
        <f>B101+B87</f>
        <v>20907</v>
      </c>
      <c r="C103" s="69">
        <f>C101+C87</f>
        <v>63161.781</v>
      </c>
      <c r="D103" s="68">
        <f>D101+D87</f>
        <v>15115</v>
      </c>
      <c r="E103" s="69">
        <f aca="true" t="shared" si="12" ref="E103:M103">SUM(+E87+E101)</f>
        <v>69364.51199999999</v>
      </c>
      <c r="F103" s="68">
        <f t="shared" si="12"/>
        <v>10835</v>
      </c>
      <c r="G103" s="69">
        <f t="shared" si="12"/>
        <v>70017.559</v>
      </c>
      <c r="H103" s="68">
        <f t="shared" si="12"/>
        <v>17417</v>
      </c>
      <c r="I103" s="69">
        <f t="shared" si="12"/>
        <v>48054.03899999999</v>
      </c>
      <c r="J103" s="68">
        <f t="shared" si="12"/>
        <v>14383</v>
      </c>
      <c r="K103" s="69">
        <f t="shared" si="12"/>
        <v>23415.477000000003</v>
      </c>
      <c r="L103" s="68">
        <f t="shared" si="12"/>
        <v>13007</v>
      </c>
      <c r="M103" s="69">
        <f t="shared" si="12"/>
        <v>63040.069</v>
      </c>
      <c r="N103" s="76">
        <f>SUM(+N87+N101)</f>
        <v>192829</v>
      </c>
      <c r="O103" s="77">
        <f>SUM(+O87+O101)</f>
        <v>720108.725</v>
      </c>
    </row>
    <row r="104" spans="3:15" ht="12.75">
      <c r="C104" s="2"/>
      <c r="F104" s="2" t="s">
        <v>12</v>
      </c>
      <c r="I104" s="67"/>
      <c r="N104" s="57"/>
      <c r="O104" s="53"/>
    </row>
    <row r="105" spans="2:15" ht="12.75">
      <c r="B105" s="56"/>
      <c r="D105" s="56"/>
      <c r="F105" s="58" t="s">
        <v>12</v>
      </c>
      <c r="J105" s="59"/>
      <c r="N105" s="55" t="s">
        <v>12</v>
      </c>
      <c r="O105" s="60"/>
    </row>
    <row r="106" ht="12.75">
      <c r="O106" s="42"/>
    </row>
    <row r="107" ht="12.75">
      <c r="O107" s="42"/>
    </row>
    <row r="108" ht="12.75">
      <c r="O108" s="42"/>
    </row>
  </sheetData>
  <sheetProtection/>
  <mergeCells count="14">
    <mergeCell ref="A8:O8"/>
    <mergeCell ref="A66:O66"/>
    <mergeCell ref="B89:C89"/>
    <mergeCell ref="D89:E89"/>
    <mergeCell ref="F89:G89"/>
    <mergeCell ref="B68:C68"/>
    <mergeCell ref="D68:E68"/>
    <mergeCell ref="F68:G68"/>
    <mergeCell ref="H68:I68"/>
    <mergeCell ref="J68:K68"/>
    <mergeCell ref="L68:M68"/>
    <mergeCell ref="H89:I89"/>
    <mergeCell ref="J89:K89"/>
    <mergeCell ref="L89:M89"/>
  </mergeCells>
  <printOptions horizontalCentered="1"/>
  <pageMargins left="0.1968503937007874" right="0.1968503937007874" top="0.5905511811023623" bottom="0.1968503937007874" header="0" footer="0.3937007874015748"/>
  <pageSetup horizontalDpi="300" verticalDpi="300" orientation="landscape" paperSize="9" scale="80" r:id="rId2"/>
  <ignoredErrors>
    <ignoredError sqref="O71" evalError="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M35"/>
  <sheetViews>
    <sheetView showGridLines="0" zoomScale="75" zoomScaleNormal="75" zoomScalePageLayoutView="0" workbookViewId="0" topLeftCell="A11">
      <selection activeCell="Q45" sqref="Q45"/>
    </sheetView>
  </sheetViews>
  <sheetFormatPr defaultColWidth="9.140625" defaultRowHeight="12.75"/>
  <cols>
    <col min="1" max="1" width="12.8515625" style="114" bestFit="1" customWidth="1"/>
    <col min="2" max="4" width="12.28125" style="114" customWidth="1"/>
    <col min="5" max="5" width="14.00390625" style="114" customWidth="1"/>
    <col min="6" max="6" width="9.140625" style="114" hidden="1" customWidth="1"/>
    <col min="7" max="7" width="12.421875" style="114" customWidth="1"/>
    <col min="8" max="8" width="14.00390625" style="114" customWidth="1"/>
    <col min="9" max="10" width="14.00390625" style="114" bestFit="1" customWidth="1"/>
    <col min="11" max="11" width="12.421875" style="114" bestFit="1" customWidth="1"/>
    <col min="12" max="12" width="14.00390625" style="114" bestFit="1" customWidth="1"/>
    <col min="13" max="13" width="12.421875" style="114" bestFit="1" customWidth="1"/>
    <col min="14" max="16384" width="9.140625" style="114" customWidth="1"/>
  </cols>
  <sheetData>
    <row r="9" spans="1:12" ht="15.75">
      <c r="A9" s="382" t="s">
        <v>102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</row>
    <row r="10" ht="15.75">
      <c r="A10" s="161"/>
    </row>
    <row r="11" ht="15.75">
      <c r="A11" s="161"/>
    </row>
    <row r="12" spans="1:12" ht="15.75">
      <c r="A12" s="385" t="s">
        <v>498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</row>
    <row r="13" spans="1:10" ht="15.75">
      <c r="A13" s="387" t="s">
        <v>101</v>
      </c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3" ht="16.5" thickBot="1">
      <c r="A14" s="160" t="s">
        <v>100</v>
      </c>
      <c r="B14" s="159">
        <v>2005</v>
      </c>
      <c r="C14" s="159">
        <v>2006</v>
      </c>
      <c r="D14" s="159">
        <v>2007</v>
      </c>
      <c r="E14" s="159">
        <v>2008</v>
      </c>
      <c r="G14" s="159">
        <v>2009</v>
      </c>
      <c r="H14" s="159">
        <v>2010</v>
      </c>
      <c r="I14" s="159">
        <v>2011</v>
      </c>
      <c r="J14" s="159">
        <v>2012</v>
      </c>
      <c r="K14" s="159">
        <v>2013</v>
      </c>
      <c r="L14" s="159">
        <v>2014</v>
      </c>
      <c r="M14" s="159">
        <v>2015</v>
      </c>
    </row>
    <row r="15" spans="1:13" ht="15.75">
      <c r="A15" s="150" t="s">
        <v>81</v>
      </c>
      <c r="B15" s="149">
        <v>14797.939</v>
      </c>
      <c r="C15" s="157">
        <v>70056.634</v>
      </c>
      <c r="D15" s="148">
        <v>56000.603</v>
      </c>
      <c r="E15" s="148">
        <v>36347.132</v>
      </c>
      <c r="G15" s="147">
        <v>27856.736</v>
      </c>
      <c r="H15" s="147">
        <v>36448.557</v>
      </c>
      <c r="I15" s="147">
        <v>43277.523</v>
      </c>
      <c r="J15" s="146">
        <v>90690.877</v>
      </c>
      <c r="K15" s="145">
        <v>58280.297</v>
      </c>
      <c r="L15" s="145">
        <v>62561.735</v>
      </c>
      <c r="M15" s="145">
        <v>74086.75</v>
      </c>
    </row>
    <row r="16" spans="1:13" ht="15.75">
      <c r="A16" s="150" t="s">
        <v>80</v>
      </c>
      <c r="B16" s="148">
        <v>39245.234</v>
      </c>
      <c r="C16" s="148">
        <v>44159.355</v>
      </c>
      <c r="D16" s="149">
        <v>26911.717</v>
      </c>
      <c r="E16" s="148">
        <v>54623.423</v>
      </c>
      <c r="G16" s="151">
        <v>73054.125</v>
      </c>
      <c r="H16" s="151">
        <v>27417.667</v>
      </c>
      <c r="I16" s="151">
        <v>51227.442</v>
      </c>
      <c r="J16" s="151">
        <v>70473.511</v>
      </c>
      <c r="K16" s="151">
        <v>62931.876</v>
      </c>
      <c r="L16" s="151">
        <v>37149.69</v>
      </c>
      <c r="M16" s="146">
        <v>59787.878</v>
      </c>
    </row>
    <row r="17" spans="1:13" ht="15.75">
      <c r="A17" s="150" t="s">
        <v>79</v>
      </c>
      <c r="B17" s="312">
        <v>19266.077</v>
      </c>
      <c r="C17" s="158">
        <v>26951.716</v>
      </c>
      <c r="D17" s="158">
        <v>58814.402</v>
      </c>
      <c r="E17" s="158">
        <v>54246.048</v>
      </c>
      <c r="G17" s="147">
        <v>45696.399</v>
      </c>
      <c r="H17" s="147">
        <v>54061.871</v>
      </c>
      <c r="I17" s="145">
        <v>59523.578</v>
      </c>
      <c r="J17" s="151">
        <v>50271.04</v>
      </c>
      <c r="K17" s="146">
        <v>66184.094</v>
      </c>
      <c r="L17" s="145">
        <v>50064.524</v>
      </c>
      <c r="M17" s="145">
        <v>47052.501</v>
      </c>
    </row>
    <row r="18" spans="1:13" ht="15.75">
      <c r="A18" s="150" t="s">
        <v>78</v>
      </c>
      <c r="B18" s="148">
        <v>43696.666</v>
      </c>
      <c r="C18" s="148">
        <v>27928.577</v>
      </c>
      <c r="D18" s="148">
        <v>37461.91</v>
      </c>
      <c r="E18" s="149">
        <v>26468.934</v>
      </c>
      <c r="G18" s="147">
        <v>29922.015</v>
      </c>
      <c r="H18" s="145">
        <v>44387.346</v>
      </c>
      <c r="I18" s="145">
        <v>33490.81</v>
      </c>
      <c r="J18" s="146">
        <v>92321.476</v>
      </c>
      <c r="K18" s="145">
        <v>35357.493</v>
      </c>
      <c r="L18" s="145">
        <v>73689.054</v>
      </c>
      <c r="M18" s="145">
        <v>81515.067</v>
      </c>
    </row>
    <row r="19" spans="1:13" ht="15.75">
      <c r="A19" s="150" t="s">
        <v>77</v>
      </c>
      <c r="B19" s="155">
        <v>53408.39</v>
      </c>
      <c r="C19" s="155">
        <v>48346.39</v>
      </c>
      <c r="D19" s="155">
        <v>43794.534</v>
      </c>
      <c r="E19" s="155">
        <v>51538.738</v>
      </c>
      <c r="G19" s="156">
        <v>36500.714</v>
      </c>
      <c r="H19" s="151">
        <v>70231.099</v>
      </c>
      <c r="I19" s="145">
        <v>38277.684</v>
      </c>
      <c r="J19" s="145">
        <v>36761.791</v>
      </c>
      <c r="K19" s="145">
        <v>61953.518</v>
      </c>
      <c r="L19" s="145">
        <v>58200.772</v>
      </c>
      <c r="M19" s="146">
        <v>78855.088</v>
      </c>
    </row>
    <row r="20" spans="1:13" ht="15.75">
      <c r="A20" s="150" t="s">
        <v>76</v>
      </c>
      <c r="B20" s="148">
        <v>27508.917</v>
      </c>
      <c r="C20" s="148">
        <v>55606.26</v>
      </c>
      <c r="D20" s="148">
        <v>14268.855</v>
      </c>
      <c r="E20" s="148">
        <v>68743.584</v>
      </c>
      <c r="G20" s="156">
        <v>4407.371</v>
      </c>
      <c r="H20" s="151">
        <v>40923.975</v>
      </c>
      <c r="I20" s="146">
        <v>84459.397</v>
      </c>
      <c r="J20" s="151">
        <v>68212.306</v>
      </c>
      <c r="K20" s="151">
        <v>64944.69</v>
      </c>
      <c r="L20" s="151">
        <v>68538.144</v>
      </c>
      <c r="M20" s="151">
        <v>41758.004</v>
      </c>
    </row>
    <row r="21" spans="1:13" ht="15.75">
      <c r="A21" s="150" t="s">
        <v>75</v>
      </c>
      <c r="B21" s="148">
        <v>43787.149</v>
      </c>
      <c r="C21" s="149">
        <v>24380.281</v>
      </c>
      <c r="D21" s="152">
        <v>100905.373</v>
      </c>
      <c r="E21" s="148">
        <v>45264.215</v>
      </c>
      <c r="G21" s="147">
        <v>36883.042</v>
      </c>
      <c r="H21" s="147">
        <v>56477.613</v>
      </c>
      <c r="I21" s="147">
        <v>72820.668</v>
      </c>
      <c r="J21" s="147">
        <v>89820.282</v>
      </c>
      <c r="K21" s="147">
        <v>48170.965</v>
      </c>
      <c r="L21" s="147">
        <v>71474.296</v>
      </c>
      <c r="M21" s="147">
        <v>63161.781</v>
      </c>
    </row>
    <row r="22" spans="1:13" ht="15.75">
      <c r="A22" s="150" t="s">
        <v>74</v>
      </c>
      <c r="B22" s="155">
        <f>SUM(B24)</f>
        <v>44513.146</v>
      </c>
      <c r="C22" s="155">
        <v>44790.57</v>
      </c>
      <c r="D22" s="154">
        <v>6249.382</v>
      </c>
      <c r="E22" s="153">
        <v>138028.836</v>
      </c>
      <c r="G22" s="147">
        <v>54563.617</v>
      </c>
      <c r="H22" s="147">
        <v>42338.086</v>
      </c>
      <c r="I22" s="147">
        <v>36145.31</v>
      </c>
      <c r="J22" s="147">
        <v>64194.972</v>
      </c>
      <c r="K22" s="147">
        <v>72921.696</v>
      </c>
      <c r="L22" s="147">
        <v>45833.292</v>
      </c>
      <c r="M22" s="147">
        <v>69364.512</v>
      </c>
    </row>
    <row r="23" spans="1:13" ht="15.75">
      <c r="A23" s="150" t="s">
        <v>73</v>
      </c>
      <c r="B23" s="148">
        <v>28619.303</v>
      </c>
      <c r="C23" s="148">
        <v>29372.686</v>
      </c>
      <c r="D23" s="148">
        <v>48865.989</v>
      </c>
      <c r="E23" s="152">
        <v>145456.56</v>
      </c>
      <c r="G23" s="156">
        <v>26220.506</v>
      </c>
      <c r="H23" s="147">
        <v>65833.088</v>
      </c>
      <c r="I23" s="147">
        <v>41051.019</v>
      </c>
      <c r="J23" s="147">
        <v>55318.578</v>
      </c>
      <c r="K23" s="147">
        <v>33955.915</v>
      </c>
      <c r="L23" s="147">
        <v>40662.488</v>
      </c>
      <c r="M23" s="147">
        <v>70017.559</v>
      </c>
    </row>
    <row r="24" spans="1:13" ht="15.75">
      <c r="A24" s="150" t="s">
        <v>72</v>
      </c>
      <c r="B24" s="148">
        <v>44513.146</v>
      </c>
      <c r="C24" s="148">
        <f>47077.031-9</f>
        <v>47068.031</v>
      </c>
      <c r="D24" s="149">
        <v>19518.365</v>
      </c>
      <c r="E24" s="386">
        <v>82867.531</v>
      </c>
      <c r="F24" s="386"/>
      <c r="G24" s="146">
        <v>98343.603</v>
      </c>
      <c r="H24" s="151">
        <v>95115.356</v>
      </c>
      <c r="I24" s="151">
        <v>63355.465</v>
      </c>
      <c r="J24" s="151">
        <v>93505.157</v>
      </c>
      <c r="K24" s="151">
        <v>65137.076</v>
      </c>
      <c r="L24" s="151">
        <v>73739.704</v>
      </c>
      <c r="M24" s="151">
        <v>48054.039</v>
      </c>
    </row>
    <row r="25" spans="1:13" ht="15.75">
      <c r="A25" s="150" t="s">
        <v>71</v>
      </c>
      <c r="B25" s="148">
        <f>53410.409+4838.762</f>
        <v>58249.171</v>
      </c>
      <c r="C25" s="149">
        <v>12627.204</v>
      </c>
      <c r="D25" s="148">
        <v>42586.367</v>
      </c>
      <c r="E25" s="148">
        <v>48419.675</v>
      </c>
      <c r="G25" s="147">
        <v>23462.928</v>
      </c>
      <c r="H25" s="147">
        <v>50467.138</v>
      </c>
      <c r="I25" s="145">
        <v>66792.714</v>
      </c>
      <c r="J25" s="147">
        <v>66031.751</v>
      </c>
      <c r="K25" s="147">
        <v>36957.482</v>
      </c>
      <c r="L25" s="146">
        <v>87601.345</v>
      </c>
      <c r="M25" s="151">
        <v>23415.477</v>
      </c>
    </row>
    <row r="26" spans="1:13" ht="16.5" thickBot="1">
      <c r="A26" s="150" t="s">
        <v>70</v>
      </c>
      <c r="B26" s="148">
        <v>47746.983</v>
      </c>
      <c r="C26" s="148">
        <v>55279.464</v>
      </c>
      <c r="D26" s="149">
        <v>33980.048</v>
      </c>
      <c r="E26" s="148">
        <v>81574.186</v>
      </c>
      <c r="G26" s="147">
        <v>70091.774</v>
      </c>
      <c r="H26" s="147">
        <v>80418.894</v>
      </c>
      <c r="I26" s="147">
        <v>79001.076</v>
      </c>
      <c r="J26" s="146">
        <v>100715.456</v>
      </c>
      <c r="K26" s="145">
        <v>48615.967</v>
      </c>
      <c r="L26" s="145">
        <v>60958.037</v>
      </c>
      <c r="M26" s="145">
        <v>63040.069</v>
      </c>
    </row>
    <row r="27" spans="1:13" ht="16.5" thickBot="1">
      <c r="A27" s="144" t="s">
        <v>83</v>
      </c>
      <c r="B27" s="143">
        <f>SUM(B15:B26)</f>
        <v>465352.12100000004</v>
      </c>
      <c r="C27" s="143">
        <f>SUM(C15:C26)</f>
        <v>486567.16800000006</v>
      </c>
      <c r="D27" s="143">
        <f>SUM(D15:D26)</f>
        <v>489357.545</v>
      </c>
      <c r="E27" s="143">
        <f>SUM(E15:E26)</f>
        <v>833578.862</v>
      </c>
      <c r="G27" s="143">
        <f aca="true" t="shared" si="0" ref="G27:L27">SUM(G15:G26)</f>
        <v>527002.8300000001</v>
      </c>
      <c r="H27" s="143">
        <f t="shared" si="0"/>
        <v>664120.69</v>
      </c>
      <c r="I27" s="143">
        <f t="shared" si="0"/>
        <v>669422.686</v>
      </c>
      <c r="J27" s="143">
        <f t="shared" si="0"/>
        <v>878317.1969999999</v>
      </c>
      <c r="K27" s="143">
        <f t="shared" si="0"/>
        <v>655411.0689999998</v>
      </c>
      <c r="L27" s="143">
        <f t="shared" si="0"/>
        <v>730473.081</v>
      </c>
      <c r="M27" s="143">
        <f>SUM(M15:M26)</f>
        <v>720108.725</v>
      </c>
    </row>
    <row r="28" ht="15">
      <c r="E28" s="142"/>
    </row>
    <row r="29" spans="1:13" ht="15.75">
      <c r="A29" s="381"/>
      <c r="B29" s="381"/>
      <c r="C29" s="381"/>
      <c r="D29" s="381"/>
      <c r="E29" s="159">
        <v>2008</v>
      </c>
      <c r="G29" s="159">
        <v>2009</v>
      </c>
      <c r="H29" s="159">
        <v>2010</v>
      </c>
      <c r="I29" s="159">
        <v>2011</v>
      </c>
      <c r="J29" s="159">
        <v>2012</v>
      </c>
      <c r="K29" s="159">
        <v>2013</v>
      </c>
      <c r="L29" s="159">
        <v>2014</v>
      </c>
      <c r="M29" s="161">
        <v>2015</v>
      </c>
    </row>
    <row r="30" spans="1:13" ht="15.75">
      <c r="A30" s="389" t="s">
        <v>270</v>
      </c>
      <c r="B30" s="390"/>
      <c r="C30" s="390"/>
      <c r="D30" s="391"/>
      <c r="E30" s="143">
        <v>833578.862</v>
      </c>
      <c r="G30" s="143">
        <v>527002.83</v>
      </c>
      <c r="H30" s="143">
        <v>664120.69</v>
      </c>
      <c r="I30" s="143">
        <v>669422.686</v>
      </c>
      <c r="J30" s="143">
        <v>878317.197</v>
      </c>
      <c r="K30" s="143">
        <v>655411.069</v>
      </c>
      <c r="L30" s="143">
        <v>730473.081</v>
      </c>
      <c r="M30" s="306">
        <f>M27</f>
        <v>720108.725</v>
      </c>
    </row>
    <row r="33" spans="1:3" ht="15.75">
      <c r="A33" s="385" t="s">
        <v>99</v>
      </c>
      <c r="B33" s="385"/>
      <c r="C33" s="385"/>
    </row>
    <row r="34" spans="1:3" ht="15">
      <c r="A34" s="383" t="s">
        <v>98</v>
      </c>
      <c r="B34" s="383"/>
      <c r="C34" s="383"/>
    </row>
    <row r="35" spans="1:3" ht="15">
      <c r="A35" s="384" t="s">
        <v>97</v>
      </c>
      <c r="B35" s="384"/>
      <c r="C35" s="384"/>
    </row>
  </sheetData>
  <sheetProtection/>
  <mergeCells count="9">
    <mergeCell ref="A29:D29"/>
    <mergeCell ref="A9:L9"/>
    <mergeCell ref="A34:C34"/>
    <mergeCell ref="A35:C35"/>
    <mergeCell ref="A33:C33"/>
    <mergeCell ref="E24:F24"/>
    <mergeCell ref="A13:J13"/>
    <mergeCell ref="A12:L12"/>
    <mergeCell ref="A30:D30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2"/>
  <ignoredErrors>
    <ignoredError sqref="L2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53"/>
  <sheetViews>
    <sheetView showGridLines="0" zoomScale="75" zoomScaleNormal="75" zoomScalePageLayoutView="0" workbookViewId="0" topLeftCell="A17">
      <selection activeCell="G26" sqref="G26"/>
    </sheetView>
  </sheetViews>
  <sheetFormatPr defaultColWidth="9.140625" defaultRowHeight="12.75"/>
  <cols>
    <col min="1" max="1" width="24.421875" style="0" customWidth="1"/>
    <col min="2" max="2" width="32.57421875" style="0" customWidth="1"/>
    <col min="3" max="3" width="22.28125" style="0" bestFit="1" customWidth="1"/>
    <col min="4" max="4" width="19.00390625" style="0" customWidth="1"/>
  </cols>
  <sheetData>
    <row r="6" spans="1:3" ht="12.75">
      <c r="A6" s="259" t="s">
        <v>107</v>
      </c>
      <c r="B6" s="259"/>
      <c r="C6" s="259"/>
    </row>
    <row r="7" spans="1:3" ht="15">
      <c r="A7" s="114"/>
      <c r="B7" s="114"/>
      <c r="C7" s="114"/>
    </row>
    <row r="8" spans="1:3" ht="15.75">
      <c r="A8" s="117" t="s">
        <v>106</v>
      </c>
      <c r="B8" s="117" t="s">
        <v>105</v>
      </c>
      <c r="C8" s="117" t="s">
        <v>104</v>
      </c>
    </row>
    <row r="9" spans="1:3" ht="15">
      <c r="A9" s="165" t="s">
        <v>103</v>
      </c>
      <c r="B9" s="166">
        <v>0</v>
      </c>
      <c r="C9" s="166">
        <v>0</v>
      </c>
    </row>
    <row r="10" spans="1:3" ht="15">
      <c r="A10" s="165" t="s">
        <v>173</v>
      </c>
      <c r="B10" s="163">
        <v>655411.069</v>
      </c>
      <c r="C10" s="164">
        <f aca="true" t="shared" si="0" ref="C10:C31">B10/12</f>
        <v>54617.58908333333</v>
      </c>
    </row>
    <row r="11" spans="1:3" ht="15">
      <c r="A11" s="165" t="s">
        <v>175</v>
      </c>
      <c r="B11" s="163">
        <v>659692.507</v>
      </c>
      <c r="C11" s="163">
        <f t="shared" si="0"/>
        <v>54974.375583333334</v>
      </c>
    </row>
    <row r="12" spans="1:3" ht="15">
      <c r="A12" s="165" t="s">
        <v>176</v>
      </c>
      <c r="B12" s="163">
        <v>633910.321</v>
      </c>
      <c r="C12" s="163">
        <f t="shared" si="0"/>
        <v>52825.86008333333</v>
      </c>
    </row>
    <row r="13" spans="1:3" ht="15">
      <c r="A13" s="165" t="s">
        <v>177</v>
      </c>
      <c r="B13" s="163">
        <v>617790.751</v>
      </c>
      <c r="C13" s="163">
        <f t="shared" si="0"/>
        <v>51482.56258333334</v>
      </c>
    </row>
    <row r="14" spans="1:3" ht="15">
      <c r="A14" s="165" t="s">
        <v>178</v>
      </c>
      <c r="B14" s="163">
        <v>656122.312</v>
      </c>
      <c r="C14" s="163">
        <f t="shared" si="0"/>
        <v>54676.859333333334</v>
      </c>
    </row>
    <row r="15" spans="1:3" ht="15">
      <c r="A15" s="165" t="s">
        <v>181</v>
      </c>
      <c r="B15" s="163">
        <v>652369.566</v>
      </c>
      <c r="C15" s="163">
        <f t="shared" si="0"/>
        <v>54364.1305</v>
      </c>
    </row>
    <row r="16" spans="1:3" ht="15">
      <c r="A16" s="165" t="s">
        <v>183</v>
      </c>
      <c r="B16" s="163">
        <v>655963.02</v>
      </c>
      <c r="C16" s="163">
        <f t="shared" si="0"/>
        <v>54663.585</v>
      </c>
    </row>
    <row r="17" spans="1:3" ht="15">
      <c r="A17" s="165" t="s">
        <v>186</v>
      </c>
      <c r="B17" s="163">
        <v>679266.351</v>
      </c>
      <c r="C17" s="163">
        <f t="shared" si="0"/>
        <v>56605.52925</v>
      </c>
    </row>
    <row r="18" spans="1:3" ht="15">
      <c r="A18" s="165" t="s">
        <v>189</v>
      </c>
      <c r="B18" s="163">
        <v>652177.947</v>
      </c>
      <c r="C18" s="163">
        <f t="shared" si="0"/>
        <v>54348.16225</v>
      </c>
    </row>
    <row r="19" spans="1:3" ht="15">
      <c r="A19" s="165" t="s">
        <v>193</v>
      </c>
      <c r="B19" s="163">
        <v>658884.52</v>
      </c>
      <c r="C19" s="163">
        <f t="shared" si="0"/>
        <v>54907.043333333335</v>
      </c>
    </row>
    <row r="20" spans="1:3" ht="15">
      <c r="A20" s="165" t="s">
        <v>194</v>
      </c>
      <c r="B20" s="163">
        <v>667487.148</v>
      </c>
      <c r="C20" s="163">
        <f t="shared" si="0"/>
        <v>55623.929000000004</v>
      </c>
    </row>
    <row r="21" spans="1:3" ht="15">
      <c r="A21" s="165" t="s">
        <v>197</v>
      </c>
      <c r="B21" s="163">
        <v>718131.011</v>
      </c>
      <c r="C21" s="163">
        <f t="shared" si="0"/>
        <v>59844.25091666667</v>
      </c>
    </row>
    <row r="22" spans="1:3" ht="15">
      <c r="A22" s="165" t="s">
        <v>202</v>
      </c>
      <c r="B22" s="163">
        <v>730473.081</v>
      </c>
      <c r="C22" s="163">
        <f t="shared" si="0"/>
        <v>60872.75675</v>
      </c>
    </row>
    <row r="23" spans="1:3" ht="15">
      <c r="A23" s="165" t="s">
        <v>213</v>
      </c>
      <c r="B23" s="163">
        <v>741998.096</v>
      </c>
      <c r="C23" s="163">
        <f t="shared" si="0"/>
        <v>61833.174666666666</v>
      </c>
    </row>
    <row r="24" spans="1:3" ht="15">
      <c r="A24" s="165" t="s">
        <v>242</v>
      </c>
      <c r="B24" s="163">
        <v>781915.254</v>
      </c>
      <c r="C24" s="313">
        <f t="shared" si="0"/>
        <v>65159.604499999994</v>
      </c>
    </row>
    <row r="25" spans="1:3" ht="15">
      <c r="A25" s="165" t="s">
        <v>271</v>
      </c>
      <c r="B25" s="163">
        <v>778903.231</v>
      </c>
      <c r="C25" s="313">
        <f t="shared" si="0"/>
        <v>64908.60258333333</v>
      </c>
    </row>
    <row r="26" spans="1:3" ht="15">
      <c r="A26" s="165" t="s">
        <v>320</v>
      </c>
      <c r="B26" s="163">
        <v>786729.244</v>
      </c>
      <c r="C26" s="313">
        <f t="shared" si="0"/>
        <v>65560.77033333333</v>
      </c>
    </row>
    <row r="27" spans="1:3" ht="15">
      <c r="A27" s="165" t="s">
        <v>321</v>
      </c>
      <c r="B27" s="163">
        <v>790104.59</v>
      </c>
      <c r="C27" s="313">
        <f t="shared" si="0"/>
        <v>65842.04916666666</v>
      </c>
    </row>
    <row r="28" spans="1:3" ht="15">
      <c r="A28" s="165" t="s">
        <v>356</v>
      </c>
      <c r="B28" s="163">
        <v>763324.45</v>
      </c>
      <c r="C28" s="313">
        <f t="shared" si="0"/>
        <v>63610.37083333333</v>
      </c>
    </row>
    <row r="29" spans="1:3" ht="15">
      <c r="A29" s="165" t="s">
        <v>372</v>
      </c>
      <c r="B29" s="163">
        <v>755011.935</v>
      </c>
      <c r="C29" s="313">
        <f t="shared" si="0"/>
        <v>62917.661250000005</v>
      </c>
    </row>
    <row r="30" spans="1:4" ht="18">
      <c r="A30" s="165" t="s">
        <v>403</v>
      </c>
      <c r="B30" s="163">
        <v>778543.155</v>
      </c>
      <c r="C30" s="313">
        <f t="shared" si="0"/>
        <v>64878.59625</v>
      </c>
      <c r="D30" s="94"/>
    </row>
    <row r="31" spans="1:3" ht="15">
      <c r="A31" s="165" t="s">
        <v>436</v>
      </c>
      <c r="B31" s="163">
        <v>807898.226</v>
      </c>
      <c r="C31" s="313">
        <f t="shared" si="0"/>
        <v>67324.85216666666</v>
      </c>
    </row>
    <row r="32" spans="1:4" ht="15">
      <c r="A32" s="165" t="s">
        <v>455</v>
      </c>
      <c r="B32" s="163">
        <v>782212.561</v>
      </c>
      <c r="C32" s="313">
        <f>B32/12</f>
        <v>65184.38008333333</v>
      </c>
      <c r="D32" s="258"/>
    </row>
    <row r="33" spans="1:4" ht="15">
      <c r="A33" s="165" t="s">
        <v>492</v>
      </c>
      <c r="B33" s="163">
        <v>718026.693</v>
      </c>
      <c r="C33" s="313">
        <f>B33/12</f>
        <v>59835.55775</v>
      </c>
      <c r="D33" s="258"/>
    </row>
    <row r="34" spans="1:4" ht="15">
      <c r="A34" s="165" t="s">
        <v>499</v>
      </c>
      <c r="B34" s="163">
        <v>720108.725</v>
      </c>
      <c r="C34" s="313">
        <f>B34/12</f>
        <v>60009.06041666667</v>
      </c>
      <c r="D34" s="258"/>
    </row>
    <row r="35" ht="12.75">
      <c r="D35" s="258"/>
    </row>
    <row r="36" ht="15">
      <c r="D36" s="101"/>
    </row>
    <row r="37" ht="15">
      <c r="D37" s="101"/>
    </row>
    <row r="38" ht="15">
      <c r="D38" s="298"/>
    </row>
    <row r="39" ht="15">
      <c r="D39" s="298"/>
    </row>
    <row r="40" ht="15">
      <c r="D40" s="298"/>
    </row>
    <row r="53" ht="12.75">
      <c r="C53" s="162"/>
    </row>
  </sheetData>
  <sheetProtection/>
  <printOptions horizontalCentered="1" verticalCentered="1"/>
  <pageMargins left="0.31496062992125984" right="0.11811023622047245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8"/>
  <sheetViews>
    <sheetView showGridLines="0" zoomScale="75" zoomScaleNormal="75" zoomScalePageLayoutView="0" workbookViewId="0" topLeftCell="A7">
      <selection activeCell="G27" sqref="G27:I27"/>
    </sheetView>
  </sheetViews>
  <sheetFormatPr defaultColWidth="9.140625" defaultRowHeight="12.75"/>
  <cols>
    <col min="1" max="1" width="25.00390625" style="90" customWidth="1"/>
    <col min="2" max="2" width="25.140625" style="90" bestFit="1" customWidth="1"/>
    <col min="3" max="3" width="20.8515625" style="90" bestFit="1" customWidth="1"/>
    <col min="4" max="4" width="22.421875" style="90" bestFit="1" customWidth="1"/>
    <col min="5" max="5" width="25.140625" style="90" bestFit="1" customWidth="1"/>
    <col min="6" max="6" width="20.8515625" style="90" bestFit="1" customWidth="1"/>
    <col min="7" max="7" width="18.8515625" style="90" customWidth="1"/>
    <col min="8" max="8" width="1.7109375" style="91" customWidth="1"/>
    <col min="9" max="9" width="14.00390625" style="90" customWidth="1"/>
    <col min="10" max="10" width="26.421875" style="90" bestFit="1" customWidth="1"/>
    <col min="11" max="11" width="14.00390625" style="90" bestFit="1" customWidth="1"/>
    <col min="12" max="16384" width="9.140625" style="90" customWidth="1"/>
  </cols>
  <sheetData>
    <row r="2" spans="1:9" ht="23.25">
      <c r="A2" s="397" t="s">
        <v>91</v>
      </c>
      <c r="B2" s="397"/>
      <c r="C2" s="397"/>
      <c r="D2" s="397"/>
      <c r="E2" s="397"/>
      <c r="F2" s="397"/>
      <c r="G2" s="397"/>
      <c r="H2" s="397"/>
      <c r="I2" s="397"/>
    </row>
    <row r="4" spans="1:9" ht="20.25">
      <c r="A4" s="398" t="s">
        <v>90</v>
      </c>
      <c r="B4" s="398"/>
      <c r="C4" s="398"/>
      <c r="D4" s="398"/>
      <c r="E4" s="398"/>
      <c r="F4" s="398"/>
      <c r="G4" s="398"/>
      <c r="H4" s="398"/>
      <c r="I4" s="398"/>
    </row>
    <row r="5" spans="1:9" ht="20.25">
      <c r="A5" s="398" t="s">
        <v>89</v>
      </c>
      <c r="B5" s="398"/>
      <c r="C5" s="398"/>
      <c r="D5" s="398"/>
      <c r="E5" s="398"/>
      <c r="F5" s="398"/>
      <c r="G5" s="398"/>
      <c r="H5" s="398"/>
      <c r="I5" s="398"/>
    </row>
    <row r="6" spans="1:9" ht="20.25">
      <c r="A6" s="398" t="s">
        <v>88</v>
      </c>
      <c r="B6" s="398"/>
      <c r="C6" s="398"/>
      <c r="D6" s="398"/>
      <c r="E6" s="398"/>
      <c r="F6" s="398"/>
      <c r="G6" s="398"/>
      <c r="H6" s="398"/>
      <c r="I6" s="398"/>
    </row>
    <row r="7" spans="1:8" ht="20.25">
      <c r="A7" s="122"/>
      <c r="B7" s="122"/>
      <c r="C7" s="122"/>
      <c r="D7" s="122"/>
      <c r="E7" s="122"/>
      <c r="F7" s="398"/>
      <c r="G7" s="398"/>
      <c r="H7" s="398"/>
    </row>
    <row r="9" spans="1:14" ht="23.25">
      <c r="A9" s="121"/>
      <c r="B9" s="392">
        <v>2014</v>
      </c>
      <c r="C9" s="393"/>
      <c r="D9" s="394"/>
      <c r="E9" s="392">
        <v>2015</v>
      </c>
      <c r="F9" s="393"/>
      <c r="G9" s="394"/>
      <c r="H9" s="120"/>
      <c r="I9" s="119" t="s">
        <v>87</v>
      </c>
      <c r="J9" s="109"/>
      <c r="K9" s="109"/>
      <c r="L9" s="109"/>
      <c r="M9" s="109"/>
      <c r="N9" s="109"/>
    </row>
    <row r="10" spans="1:14" ht="20.25">
      <c r="A10" s="98" t="s">
        <v>86</v>
      </c>
      <c r="B10" s="118" t="s">
        <v>85</v>
      </c>
      <c r="C10" s="118" t="s">
        <v>84</v>
      </c>
      <c r="D10" s="117" t="s">
        <v>83</v>
      </c>
      <c r="E10" s="118" t="s">
        <v>85</v>
      </c>
      <c r="F10" s="118" t="s">
        <v>84</v>
      </c>
      <c r="G10" s="117" t="s">
        <v>83</v>
      </c>
      <c r="H10" s="116"/>
      <c r="I10" s="115" t="s">
        <v>82</v>
      </c>
      <c r="J10" s="109"/>
      <c r="K10" s="109"/>
      <c r="L10" s="109"/>
      <c r="M10" s="109"/>
      <c r="N10" s="109"/>
    </row>
    <row r="11" spans="1:14" ht="20.25">
      <c r="A11" s="327"/>
      <c r="B11" s="322"/>
      <c r="C11" s="114"/>
      <c r="D11" s="113"/>
      <c r="E11" s="322"/>
      <c r="F11" s="114"/>
      <c r="G11" s="328"/>
      <c r="H11" s="112"/>
      <c r="I11" s="111"/>
      <c r="J11" s="109"/>
      <c r="K11" s="109"/>
      <c r="L11" s="109"/>
      <c r="M11" s="109"/>
      <c r="N11" s="109"/>
    </row>
    <row r="12" spans="1:14" ht="20.25">
      <c r="A12" s="325" t="s">
        <v>81</v>
      </c>
      <c r="B12" s="103">
        <v>59660.372</v>
      </c>
      <c r="C12" s="101">
        <v>2901.363</v>
      </c>
      <c r="D12" s="108">
        <v>62561.735</v>
      </c>
      <c r="E12" s="103">
        <v>71030.198</v>
      </c>
      <c r="F12" s="101">
        <v>3056.552</v>
      </c>
      <c r="G12" s="321">
        <f>E12+F12</f>
        <v>74086.75</v>
      </c>
      <c r="H12" s="99"/>
      <c r="I12" s="307">
        <v>0.1842</v>
      </c>
      <c r="J12" s="110"/>
      <c r="K12" s="109"/>
      <c r="L12" s="109"/>
      <c r="M12" s="109"/>
      <c r="N12" s="109"/>
    </row>
    <row r="13" spans="1:11" ht="20.25">
      <c r="A13" s="325" t="s">
        <v>80</v>
      </c>
      <c r="B13" s="103">
        <v>35841.446</v>
      </c>
      <c r="C13" s="101">
        <v>1308.244</v>
      </c>
      <c r="D13" s="108">
        <f>SUM(B13:C13)</f>
        <v>37149.69</v>
      </c>
      <c r="E13" s="103">
        <v>57193.683</v>
      </c>
      <c r="F13" s="101">
        <v>2594.195</v>
      </c>
      <c r="G13" s="323">
        <f>SUM(E13:F13)</f>
        <v>59787.878</v>
      </c>
      <c r="H13" s="99"/>
      <c r="I13" s="307">
        <v>0.6094</v>
      </c>
      <c r="J13" s="102"/>
      <c r="K13" s="102"/>
    </row>
    <row r="14" spans="1:10" ht="20.25">
      <c r="A14" s="325" t="s">
        <v>79</v>
      </c>
      <c r="B14" s="103">
        <v>47994.312</v>
      </c>
      <c r="C14" s="101">
        <v>2070.212</v>
      </c>
      <c r="D14" s="108">
        <f>SUM(B14:C14)</f>
        <v>50064.524</v>
      </c>
      <c r="E14" s="103">
        <v>42626.053</v>
      </c>
      <c r="F14" s="101">
        <v>4426.448</v>
      </c>
      <c r="G14" s="324">
        <f>SUM(E14,F14)</f>
        <v>47052.501000000004</v>
      </c>
      <c r="H14" s="99"/>
      <c r="I14" s="307">
        <v>-0.0602</v>
      </c>
      <c r="J14" s="107"/>
    </row>
    <row r="15" spans="1:9" ht="20.25">
      <c r="A15" s="325" t="s">
        <v>78</v>
      </c>
      <c r="B15" s="103">
        <v>67746.828</v>
      </c>
      <c r="C15" s="101">
        <v>5942.226</v>
      </c>
      <c r="D15" s="106">
        <f>SUM(B15:C15)</f>
        <v>73689.05399999999</v>
      </c>
      <c r="E15" s="103">
        <v>78820.224</v>
      </c>
      <c r="F15" s="101">
        <v>2694.843</v>
      </c>
      <c r="G15" s="323">
        <f>E15+F15</f>
        <v>81515.067</v>
      </c>
      <c r="H15" s="104"/>
      <c r="I15" s="307">
        <v>0.1062</v>
      </c>
    </row>
    <row r="16" spans="1:10" ht="20.25">
      <c r="A16" s="325" t="s">
        <v>77</v>
      </c>
      <c r="B16" s="103">
        <v>50061.175</v>
      </c>
      <c r="C16" s="101">
        <v>8139.597</v>
      </c>
      <c r="D16" s="100">
        <f>B16+C16</f>
        <v>58200.772000000004</v>
      </c>
      <c r="E16" s="103">
        <v>71317.545</v>
      </c>
      <c r="F16" s="101">
        <v>7537.543</v>
      </c>
      <c r="G16" s="323">
        <f>SUM(E16,F16)</f>
        <v>78855.088</v>
      </c>
      <c r="H16" s="104"/>
      <c r="I16" s="307">
        <v>0.3549</v>
      </c>
      <c r="J16" s="102"/>
    </row>
    <row r="17" spans="1:10" ht="20.25">
      <c r="A17" s="325" t="s">
        <v>76</v>
      </c>
      <c r="B17" s="103">
        <v>59064.097</v>
      </c>
      <c r="C17" s="101">
        <v>9474.047</v>
      </c>
      <c r="D17" s="100">
        <f aca="true" t="shared" si="0" ref="D17:D23">SUM(B17:C17)</f>
        <v>68538.144</v>
      </c>
      <c r="E17" s="103">
        <v>36914.146</v>
      </c>
      <c r="F17" s="101">
        <v>4843.858</v>
      </c>
      <c r="G17" s="323">
        <f>SUM(E17:F17)</f>
        <v>41758.004</v>
      </c>
      <c r="H17" s="104"/>
      <c r="I17" s="307">
        <v>-0.3907</v>
      </c>
      <c r="J17" s="102"/>
    </row>
    <row r="18" spans="1:10" ht="20.25">
      <c r="A18" s="325" t="s">
        <v>75</v>
      </c>
      <c r="B18" s="103">
        <v>60181.306</v>
      </c>
      <c r="C18" s="101">
        <v>11292.99</v>
      </c>
      <c r="D18" s="100">
        <f t="shared" si="0"/>
        <v>71474.296</v>
      </c>
      <c r="E18" s="103">
        <v>52742.027</v>
      </c>
      <c r="F18" s="101">
        <v>10419.754</v>
      </c>
      <c r="G18" s="323">
        <v>63161.781</v>
      </c>
      <c r="H18" s="99"/>
      <c r="I18" s="350">
        <v>-0.1163</v>
      </c>
      <c r="J18" s="105" t="s">
        <v>12</v>
      </c>
    </row>
    <row r="19" spans="1:10" ht="20.25">
      <c r="A19" s="325" t="s">
        <v>74</v>
      </c>
      <c r="B19" s="103">
        <v>29354.614</v>
      </c>
      <c r="C19" s="101">
        <v>16478.678</v>
      </c>
      <c r="D19" s="100">
        <f t="shared" si="0"/>
        <v>45833.292</v>
      </c>
      <c r="E19" s="103">
        <v>62346.933</v>
      </c>
      <c r="F19" s="101">
        <v>7017.579</v>
      </c>
      <c r="G19" s="323">
        <f>SUM(E19:F19)</f>
        <v>69364.512</v>
      </c>
      <c r="H19" s="99"/>
      <c r="I19" s="350">
        <v>0.5134</v>
      </c>
      <c r="J19" s="102" t="s">
        <v>12</v>
      </c>
    </row>
    <row r="20" spans="1:9" ht="20.25">
      <c r="A20" s="325" t="s">
        <v>73</v>
      </c>
      <c r="B20" s="103">
        <v>33418.564</v>
      </c>
      <c r="C20" s="101">
        <v>7243.924</v>
      </c>
      <c r="D20" s="100">
        <f t="shared" si="0"/>
        <v>40662.488</v>
      </c>
      <c r="E20" s="103">
        <v>64851.707</v>
      </c>
      <c r="F20" s="101">
        <v>5165.852</v>
      </c>
      <c r="G20" s="323">
        <f>SUM(E20:F20)</f>
        <v>70017.55900000001</v>
      </c>
      <c r="H20" s="99"/>
      <c r="I20" s="353">
        <v>0.7219</v>
      </c>
    </row>
    <row r="21" spans="1:10" ht="20.25">
      <c r="A21" s="325" t="s">
        <v>72</v>
      </c>
      <c r="B21" s="103">
        <v>70299.097</v>
      </c>
      <c r="C21" s="101">
        <v>3440.607</v>
      </c>
      <c r="D21" s="100">
        <f t="shared" si="0"/>
        <v>73739.704</v>
      </c>
      <c r="E21" s="103">
        <v>40408.476</v>
      </c>
      <c r="F21" s="101">
        <v>7645.563</v>
      </c>
      <c r="G21" s="324">
        <f>SUM(E21:F21)</f>
        <v>48054.039000000004</v>
      </c>
      <c r="H21" s="104"/>
      <c r="I21" s="353">
        <v>-0.3483</v>
      </c>
      <c r="J21" s="90" t="s">
        <v>12</v>
      </c>
    </row>
    <row r="22" spans="1:11" ht="20.25">
      <c r="A22" s="325" t="s">
        <v>71</v>
      </c>
      <c r="B22" s="103">
        <v>82572.276</v>
      </c>
      <c r="C22" s="101">
        <v>5029.069</v>
      </c>
      <c r="D22" s="100">
        <f t="shared" si="0"/>
        <v>87601.345</v>
      </c>
      <c r="E22" s="103">
        <v>21122.619</v>
      </c>
      <c r="F22" s="101">
        <v>2292.858</v>
      </c>
      <c r="G22" s="323">
        <f>SUM(E22:F22)</f>
        <v>23415.477</v>
      </c>
      <c r="H22" s="99"/>
      <c r="I22" s="353">
        <v>-0.7327</v>
      </c>
      <c r="J22" s="102"/>
      <c r="K22" s="90" t="s">
        <v>12</v>
      </c>
    </row>
    <row r="23" spans="1:9" ht="20.25">
      <c r="A23" s="325" t="s">
        <v>70</v>
      </c>
      <c r="B23" s="326">
        <v>54837.438</v>
      </c>
      <c r="C23" s="101">
        <v>6120.599</v>
      </c>
      <c r="D23" s="100">
        <f t="shared" si="0"/>
        <v>60958.037000000004</v>
      </c>
      <c r="E23" s="363">
        <v>56358.241</v>
      </c>
      <c r="F23" s="101">
        <v>6681.828</v>
      </c>
      <c r="G23" s="364">
        <f>SUM(E23:F23)</f>
        <v>63040.069</v>
      </c>
      <c r="H23" s="99"/>
      <c r="I23" s="307">
        <v>0.0341</v>
      </c>
    </row>
    <row r="24" spans="1:11" ht="20.25">
      <c r="A24" s="98" t="s">
        <v>19</v>
      </c>
      <c r="B24" s="97">
        <f aca="true" t="shared" si="1" ref="B24:G24">SUM(B12:B23)</f>
        <v>651031.5249999999</v>
      </c>
      <c r="C24" s="97">
        <f t="shared" si="1"/>
        <v>79441.556</v>
      </c>
      <c r="D24" s="97">
        <f t="shared" si="1"/>
        <v>730473.081</v>
      </c>
      <c r="E24" s="97">
        <f t="shared" si="1"/>
        <v>655731.8520000001</v>
      </c>
      <c r="F24" s="97">
        <f t="shared" si="1"/>
        <v>64376.873</v>
      </c>
      <c r="G24" s="97">
        <f t="shared" si="1"/>
        <v>720108.725</v>
      </c>
      <c r="H24" s="96"/>
      <c r="I24" s="365">
        <v>-0.0142</v>
      </c>
      <c r="K24" s="95"/>
    </row>
    <row r="25" spans="2:9" ht="20.25">
      <c r="B25" s="94"/>
      <c r="C25" s="94"/>
      <c r="D25" s="94"/>
      <c r="E25" s="94"/>
      <c r="F25" s="94"/>
      <c r="G25" s="396"/>
      <c r="H25" s="396"/>
      <c r="I25" s="396"/>
    </row>
    <row r="26" spans="2:9" ht="20.25">
      <c r="B26" s="94"/>
      <c r="C26" s="94"/>
      <c r="D26" s="94"/>
      <c r="E26" s="94"/>
      <c r="F26" s="94"/>
      <c r="G26" s="399"/>
      <c r="H26" s="399"/>
      <c r="I26" s="399"/>
    </row>
    <row r="27" spans="2:9" ht="20.25">
      <c r="B27" s="94"/>
      <c r="C27" s="94"/>
      <c r="D27" s="94"/>
      <c r="E27" s="94"/>
      <c r="F27" s="94"/>
      <c r="G27" s="395"/>
      <c r="H27" s="395"/>
      <c r="I27" s="395"/>
    </row>
    <row r="28" spans="2:8" ht="20.25">
      <c r="B28" s="93"/>
      <c r="C28" s="93"/>
      <c r="D28" s="93"/>
      <c r="E28" s="93"/>
      <c r="F28" s="93"/>
      <c r="G28" s="93"/>
      <c r="H28" s="92"/>
    </row>
  </sheetData>
  <sheetProtection/>
  <mergeCells count="10">
    <mergeCell ref="E9:G9"/>
    <mergeCell ref="G27:I27"/>
    <mergeCell ref="B9:D9"/>
    <mergeCell ref="G25:I25"/>
    <mergeCell ref="A2:I2"/>
    <mergeCell ref="A4:I4"/>
    <mergeCell ref="A5:I5"/>
    <mergeCell ref="A6:I6"/>
    <mergeCell ref="F7:H7"/>
    <mergeCell ref="G26:I26"/>
  </mergeCells>
  <printOptions horizontalCentered="1" vertic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0" r:id="rId2"/>
  <ignoredErrors>
    <ignoredError sqref="D16 G1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59"/>
  <sheetViews>
    <sheetView showGridLines="0" zoomScale="75" zoomScaleNormal="75" zoomScalePageLayoutView="0" workbookViewId="0" topLeftCell="A35">
      <selection activeCell="C57" sqref="C57"/>
    </sheetView>
  </sheetViews>
  <sheetFormatPr defaultColWidth="9.140625" defaultRowHeight="12.75"/>
  <cols>
    <col min="1" max="1" width="33.140625" style="0" bestFit="1" customWidth="1"/>
    <col min="2" max="2" width="18.00390625" style="0" customWidth="1"/>
    <col min="3" max="3" width="12.7109375" style="0" customWidth="1"/>
    <col min="4" max="4" width="33.140625" style="0" bestFit="1" customWidth="1"/>
    <col min="5" max="5" width="27.140625" style="0" customWidth="1"/>
    <col min="6" max="6" width="16.28125" style="0" bestFit="1" customWidth="1"/>
    <col min="7" max="7" width="14.140625" style="0" bestFit="1" customWidth="1"/>
    <col min="8" max="8" width="10.421875" style="0" bestFit="1" customWidth="1"/>
  </cols>
  <sheetData>
    <row r="5" ht="13.5" thickBot="1"/>
    <row r="6" spans="1:5" ht="15.75" thickBot="1">
      <c r="A6" s="400" t="s">
        <v>146</v>
      </c>
      <c r="B6" s="401"/>
      <c r="C6" s="401"/>
      <c r="D6" s="401"/>
      <c r="E6" s="402"/>
    </row>
    <row r="7" spans="1:5" ht="15.75" thickBot="1">
      <c r="A7" s="400" t="s">
        <v>145</v>
      </c>
      <c r="B7" s="401"/>
      <c r="C7" s="401"/>
      <c r="D7" s="401"/>
      <c r="E7" s="402"/>
    </row>
    <row r="8" ht="13.5" thickBot="1"/>
    <row r="9" spans="1:5" ht="21.75" thickBot="1">
      <c r="A9" s="410" t="s">
        <v>214</v>
      </c>
      <c r="B9" s="411"/>
      <c r="C9" s="196"/>
      <c r="D9" s="410" t="s">
        <v>500</v>
      </c>
      <c r="E9" s="411"/>
    </row>
    <row r="10" spans="1:5" ht="18.75">
      <c r="A10" s="407" t="s">
        <v>144</v>
      </c>
      <c r="B10" s="407"/>
      <c r="C10" s="196"/>
      <c r="D10" s="407" t="s">
        <v>144</v>
      </c>
      <c r="E10" s="407"/>
    </row>
    <row r="11" spans="1:5" ht="18.75">
      <c r="A11" s="209" t="s">
        <v>143</v>
      </c>
      <c r="B11" s="215">
        <v>259473.89</v>
      </c>
      <c r="D11" s="209" t="s">
        <v>143</v>
      </c>
      <c r="E11" s="314">
        <v>270137.04</v>
      </c>
    </row>
    <row r="12" spans="1:5" ht="18.75">
      <c r="A12" s="209" t="s">
        <v>142</v>
      </c>
      <c r="B12" s="215">
        <v>114159.22</v>
      </c>
      <c r="D12" s="209" t="s">
        <v>142</v>
      </c>
      <c r="E12" s="314">
        <v>101061.97</v>
      </c>
    </row>
    <row r="13" spans="1:5" ht="18.75">
      <c r="A13" s="209" t="s">
        <v>141</v>
      </c>
      <c r="B13" s="215">
        <f>21969.93+133286.87</f>
        <v>155256.8</v>
      </c>
      <c r="D13" s="209" t="s">
        <v>141</v>
      </c>
      <c r="E13" s="314">
        <f>5976.83+104315.01</f>
        <v>110291.84</v>
      </c>
    </row>
    <row r="14" spans="1:5" ht="18.75">
      <c r="A14" s="209" t="s">
        <v>140</v>
      </c>
      <c r="B14" s="215">
        <v>5080.448</v>
      </c>
      <c r="D14" s="209" t="s">
        <v>140</v>
      </c>
      <c r="E14" s="314">
        <v>2457.202</v>
      </c>
    </row>
    <row r="15" spans="1:5" ht="18.75">
      <c r="A15" s="209" t="s">
        <v>128</v>
      </c>
      <c r="B15" s="215">
        <v>0</v>
      </c>
      <c r="D15" s="209" t="s">
        <v>128</v>
      </c>
      <c r="E15" s="329">
        <v>0</v>
      </c>
    </row>
    <row r="16" spans="1:5" ht="18.75">
      <c r="A16" s="209" t="s">
        <v>139</v>
      </c>
      <c r="B16" s="216">
        <v>33052.77</v>
      </c>
      <c r="D16" s="209" t="s">
        <v>139</v>
      </c>
      <c r="E16" s="314">
        <v>30440.78</v>
      </c>
    </row>
    <row r="17" spans="1:5" ht="18.75">
      <c r="A17" s="209" t="s">
        <v>191</v>
      </c>
      <c r="B17" s="215">
        <v>4471.441</v>
      </c>
      <c r="D17" s="209" t="s">
        <v>191</v>
      </c>
      <c r="E17" s="329">
        <v>0</v>
      </c>
    </row>
    <row r="18" spans="1:5" ht="18.75">
      <c r="A18" s="209" t="s">
        <v>138</v>
      </c>
      <c r="B18" s="214">
        <v>956.374</v>
      </c>
      <c r="D18" s="209" t="s">
        <v>190</v>
      </c>
      <c r="E18" s="314">
        <v>840.095</v>
      </c>
    </row>
    <row r="19" spans="1:5" ht="18.75">
      <c r="A19" s="207" t="s">
        <v>137</v>
      </c>
      <c r="B19" s="213">
        <v>0</v>
      </c>
      <c r="D19" s="207" t="s">
        <v>137</v>
      </c>
      <c r="E19" s="329">
        <v>0</v>
      </c>
    </row>
    <row r="20" spans="1:5" ht="18.75">
      <c r="A20" s="207" t="s">
        <v>136</v>
      </c>
      <c r="B20" s="213">
        <v>3863.84</v>
      </c>
      <c r="D20" s="207" t="s">
        <v>136</v>
      </c>
      <c r="E20" s="329">
        <v>0</v>
      </c>
    </row>
    <row r="21" spans="1:5" ht="18.75">
      <c r="A21" s="207" t="s">
        <v>132</v>
      </c>
      <c r="B21" s="213">
        <v>25597.182</v>
      </c>
      <c r="D21" s="207" t="s">
        <v>132</v>
      </c>
      <c r="E21" s="314">
        <v>19732.355</v>
      </c>
    </row>
    <row r="22" spans="1:5" ht="18.75">
      <c r="A22" s="207" t="s">
        <v>404</v>
      </c>
      <c r="B22" s="213">
        <v>31017.17</v>
      </c>
      <c r="D22" s="207" t="s">
        <v>404</v>
      </c>
      <c r="E22" s="314">
        <v>120406.999</v>
      </c>
    </row>
    <row r="23" spans="1:5" ht="18.75">
      <c r="A23" s="207" t="s">
        <v>135</v>
      </c>
      <c r="B23" s="213">
        <v>0</v>
      </c>
      <c r="D23" s="207" t="s">
        <v>135</v>
      </c>
      <c r="E23" s="329">
        <v>0</v>
      </c>
    </row>
    <row r="24" spans="1:5" ht="18.75">
      <c r="A24" s="207" t="s">
        <v>134</v>
      </c>
      <c r="B24" s="213">
        <v>0</v>
      </c>
      <c r="D24" s="207" t="s">
        <v>134</v>
      </c>
      <c r="E24" s="329">
        <v>0</v>
      </c>
    </row>
    <row r="25" spans="1:5" ht="18.75">
      <c r="A25" s="207" t="s">
        <v>170</v>
      </c>
      <c r="B25" s="213">
        <v>95.31</v>
      </c>
      <c r="D25" s="207" t="s">
        <v>170</v>
      </c>
      <c r="E25" s="314">
        <v>3.46</v>
      </c>
    </row>
    <row r="26" spans="1:5" ht="18.75">
      <c r="A26" s="207" t="s">
        <v>171</v>
      </c>
      <c r="B26" s="213">
        <v>1331.37</v>
      </c>
      <c r="D26" s="207" t="s">
        <v>171</v>
      </c>
      <c r="E26" s="314">
        <v>360.111</v>
      </c>
    </row>
    <row r="27" spans="1:5" ht="18.75">
      <c r="A27" s="207" t="s">
        <v>184</v>
      </c>
      <c r="B27" s="213">
        <v>13.62</v>
      </c>
      <c r="D27" s="207" t="s">
        <v>184</v>
      </c>
      <c r="E27" s="329">
        <v>0</v>
      </c>
    </row>
    <row r="28" spans="1:5" ht="18.75">
      <c r="A28" s="207" t="s">
        <v>198</v>
      </c>
      <c r="B28" s="213">
        <f>16662.09</f>
        <v>16662.09</v>
      </c>
      <c r="D28" s="207" t="s">
        <v>198</v>
      </c>
      <c r="E28" s="329">
        <v>0</v>
      </c>
    </row>
    <row r="29" spans="1:5" ht="18.75">
      <c r="A29" s="205" t="s">
        <v>123</v>
      </c>
      <c r="B29" s="212">
        <f>SUM(B11:B28)</f>
        <v>651031.5249999999</v>
      </c>
      <c r="D29" s="205" t="s">
        <v>123</v>
      </c>
      <c r="E29" s="212">
        <f>SUM(E11:E28)</f>
        <v>655731.8519999998</v>
      </c>
    </row>
    <row r="30" spans="1:5" ht="18.75">
      <c r="A30" s="408" t="s">
        <v>133</v>
      </c>
      <c r="B30" s="408"/>
      <c r="D30" s="408" t="s">
        <v>133</v>
      </c>
      <c r="E30" s="408"/>
    </row>
    <row r="31" spans="1:5" ht="18.75">
      <c r="A31" s="209" t="s">
        <v>132</v>
      </c>
      <c r="B31" s="211">
        <v>35253.098</v>
      </c>
      <c r="D31" s="209" t="s">
        <v>132</v>
      </c>
      <c r="E31" s="314">
        <v>31714.141</v>
      </c>
    </row>
    <row r="32" spans="1:5" ht="18.75">
      <c r="A32" s="209" t="s">
        <v>131</v>
      </c>
      <c r="B32" s="211">
        <v>4257.91</v>
      </c>
      <c r="D32" s="209" t="s">
        <v>131</v>
      </c>
      <c r="E32" s="314">
        <v>929.66</v>
      </c>
    </row>
    <row r="33" spans="1:5" ht="18.75">
      <c r="A33" s="209" t="s">
        <v>130</v>
      </c>
      <c r="B33" s="211">
        <v>1456.211</v>
      </c>
      <c r="D33" s="209" t="s">
        <v>130</v>
      </c>
      <c r="E33" s="314">
        <v>74.02</v>
      </c>
    </row>
    <row r="34" spans="1:5" ht="18.75">
      <c r="A34" s="209" t="s">
        <v>129</v>
      </c>
      <c r="B34" s="208">
        <v>0</v>
      </c>
      <c r="D34" s="209" t="s">
        <v>129</v>
      </c>
      <c r="E34" s="314">
        <v>0</v>
      </c>
    </row>
    <row r="35" spans="1:8" ht="18.75">
      <c r="A35" s="209" t="s">
        <v>128</v>
      </c>
      <c r="B35" s="208">
        <v>0</v>
      </c>
      <c r="D35" s="209" t="s">
        <v>128</v>
      </c>
      <c r="E35" s="314">
        <v>0</v>
      </c>
      <c r="H35" s="189"/>
    </row>
    <row r="36" spans="1:7" ht="18.75">
      <c r="A36" s="209" t="s">
        <v>127</v>
      </c>
      <c r="B36" s="211">
        <v>11766.563</v>
      </c>
      <c r="D36" s="209" t="s">
        <v>191</v>
      </c>
      <c r="E36" s="314">
        <v>0</v>
      </c>
      <c r="G36" s="189"/>
    </row>
    <row r="37" spans="1:7" ht="18.75">
      <c r="A37" s="209" t="s">
        <v>199</v>
      </c>
      <c r="B37" s="211">
        <f>668.807</f>
        <v>668.807</v>
      </c>
      <c r="D37" s="209" t="s">
        <v>199</v>
      </c>
      <c r="E37" s="314">
        <v>0</v>
      </c>
      <c r="G37" s="189"/>
    </row>
    <row r="38" spans="1:5" ht="18.75">
      <c r="A38" s="209" t="s">
        <v>126</v>
      </c>
      <c r="B38" s="210">
        <v>3466.119</v>
      </c>
      <c r="D38" s="209" t="s">
        <v>192</v>
      </c>
      <c r="E38" s="314">
        <v>6650.484</v>
      </c>
    </row>
    <row r="39" spans="1:5" ht="18.75">
      <c r="A39" s="209" t="s">
        <v>125</v>
      </c>
      <c r="B39" s="208">
        <v>4668.648</v>
      </c>
      <c r="D39" s="209" t="s">
        <v>190</v>
      </c>
      <c r="E39" s="314">
        <v>6733.758</v>
      </c>
    </row>
    <row r="40" spans="1:5" ht="18.75">
      <c r="A40" s="207" t="s">
        <v>124</v>
      </c>
      <c r="B40" s="206">
        <v>0</v>
      </c>
      <c r="D40" s="207" t="s">
        <v>124</v>
      </c>
      <c r="E40" s="314">
        <v>0</v>
      </c>
    </row>
    <row r="41" spans="1:5" ht="18.75">
      <c r="A41" s="207" t="s">
        <v>405</v>
      </c>
      <c r="B41" s="206">
        <v>0</v>
      </c>
      <c r="D41" s="207" t="s">
        <v>405</v>
      </c>
      <c r="E41" s="314">
        <v>163.43</v>
      </c>
    </row>
    <row r="42" spans="1:5" ht="18.75">
      <c r="A42" s="207" t="s">
        <v>172</v>
      </c>
      <c r="B42" s="206">
        <v>0</v>
      </c>
      <c r="D42" s="207" t="s">
        <v>172</v>
      </c>
      <c r="E42" s="314">
        <v>329.29</v>
      </c>
    </row>
    <row r="43" spans="1:5" ht="18.75">
      <c r="A43" s="207" t="s">
        <v>184</v>
      </c>
      <c r="B43" s="206">
        <v>17904.2</v>
      </c>
      <c r="D43" s="207" t="s">
        <v>184</v>
      </c>
      <c r="E43" s="314">
        <v>17782.09</v>
      </c>
    </row>
    <row r="44" spans="1:6" ht="18.75">
      <c r="A44" s="205" t="s">
        <v>123</v>
      </c>
      <c r="B44" s="204">
        <f>SUM(B31:B43)</f>
        <v>79441.55600000001</v>
      </c>
      <c r="D44" s="205" t="s">
        <v>123</v>
      </c>
      <c r="E44" s="315">
        <f>SUM(E31:E43)</f>
        <v>64376.87300000001</v>
      </c>
      <c r="F44" s="203"/>
    </row>
    <row r="45" spans="1:5" ht="21">
      <c r="A45" s="202" t="s">
        <v>122</v>
      </c>
      <c r="B45" s="201">
        <f>B44+B29</f>
        <v>730473.0809999999</v>
      </c>
      <c r="D45" s="202" t="s">
        <v>122</v>
      </c>
      <c r="E45" s="201">
        <f>E44+E29</f>
        <v>720108.7249999999</v>
      </c>
    </row>
    <row r="46" spans="1:5" ht="21">
      <c r="A46" s="200" t="s">
        <v>121</v>
      </c>
      <c r="B46" s="199">
        <f>B45/12</f>
        <v>60872.75674999999</v>
      </c>
      <c r="D46" s="200" t="s">
        <v>121</v>
      </c>
      <c r="E46" s="199">
        <f>E45/12</f>
        <v>60009.06041666665</v>
      </c>
    </row>
    <row r="47" ht="12.75">
      <c r="E47" s="193"/>
    </row>
    <row r="48" spans="1:7" ht="15">
      <c r="A48" s="409" t="s">
        <v>120</v>
      </c>
      <c r="B48" s="409"/>
      <c r="C48" s="409"/>
      <c r="D48" s="409"/>
      <c r="E48" s="409"/>
      <c r="F48" s="409"/>
      <c r="G48" s="198"/>
    </row>
    <row r="49" ht="13.5" thickBot="1"/>
    <row r="50" spans="1:7" ht="16.5" thickBot="1">
      <c r="A50" s="403" t="s">
        <v>501</v>
      </c>
      <c r="B50" s="404"/>
      <c r="C50" s="196"/>
      <c r="D50" s="403" t="s">
        <v>502</v>
      </c>
      <c r="E50" s="404"/>
      <c r="F50" s="195" t="s">
        <v>119</v>
      </c>
      <c r="G50" s="220"/>
    </row>
    <row r="51" spans="1:10" ht="18.75">
      <c r="A51" s="405">
        <v>60958.037</v>
      </c>
      <c r="B51" s="406"/>
      <c r="C51" s="194"/>
      <c r="D51" s="405">
        <v>63040.069</v>
      </c>
      <c r="E51" s="406"/>
      <c r="F51" s="264">
        <v>0.0342</v>
      </c>
      <c r="G51" s="197"/>
      <c r="H51" s="357" t="s">
        <v>12</v>
      </c>
      <c r="I51" s="355" t="s">
        <v>12</v>
      </c>
      <c r="J51" s="167" t="s">
        <v>12</v>
      </c>
    </row>
    <row r="52" ht="13.5" thickBot="1">
      <c r="I52" s="355" t="s">
        <v>12</v>
      </c>
    </row>
    <row r="53" spans="1:8" ht="16.5" thickBot="1">
      <c r="A53" s="403" t="s">
        <v>493</v>
      </c>
      <c r="B53" s="404"/>
      <c r="C53" s="196"/>
      <c r="D53" s="403" t="s">
        <v>502</v>
      </c>
      <c r="E53" s="404"/>
      <c r="F53" s="195" t="s">
        <v>119</v>
      </c>
      <c r="H53" t="s">
        <v>12</v>
      </c>
    </row>
    <row r="54" spans="1:8" ht="18.75">
      <c r="A54" s="405">
        <v>23415.477</v>
      </c>
      <c r="B54" s="406"/>
      <c r="C54" s="194"/>
      <c r="D54" s="405">
        <f>D51</f>
        <v>63040.069</v>
      </c>
      <c r="E54" s="406"/>
      <c r="F54" s="264">
        <v>1.6922</v>
      </c>
      <c r="H54" s="355" t="s">
        <v>12</v>
      </c>
    </row>
    <row r="55" spans="6:7" ht="15.75" thickBot="1">
      <c r="F55" s="193"/>
      <c r="G55" s="192"/>
    </row>
    <row r="56" spans="1:5" ht="15.75">
      <c r="A56" s="403" t="s">
        <v>503</v>
      </c>
      <c r="B56" s="404"/>
      <c r="E56" s="291"/>
    </row>
    <row r="57" spans="1:5" ht="18.75">
      <c r="A57" s="405">
        <v>720108.725</v>
      </c>
      <c r="B57" s="406"/>
      <c r="E57" s="354"/>
    </row>
    <row r="59" spans="1:2" ht="15">
      <c r="A59" s="191"/>
      <c r="B59" s="190"/>
    </row>
  </sheetData>
  <sheetProtection/>
  <mergeCells count="19">
    <mergeCell ref="A57:B57"/>
    <mergeCell ref="A53:B53"/>
    <mergeCell ref="A54:B54"/>
    <mergeCell ref="A9:B9"/>
    <mergeCell ref="D10:E10"/>
    <mergeCell ref="D30:E30"/>
    <mergeCell ref="D53:E53"/>
    <mergeCell ref="D54:E54"/>
    <mergeCell ref="A56:B56"/>
    <mergeCell ref="D9:E9"/>
    <mergeCell ref="A6:E6"/>
    <mergeCell ref="A50:B50"/>
    <mergeCell ref="D50:E50"/>
    <mergeCell ref="A51:B51"/>
    <mergeCell ref="D51:E51"/>
    <mergeCell ref="A7:E7"/>
    <mergeCell ref="A10:B10"/>
    <mergeCell ref="A30:B30"/>
    <mergeCell ref="A48:F48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7"/>
  <sheetViews>
    <sheetView showGridLines="0" zoomScale="75" zoomScaleNormal="75" zoomScalePageLayoutView="0" workbookViewId="0" topLeftCell="A4">
      <pane xSplit="1" topLeftCell="F1" activePane="topRight" state="frozen"/>
      <selection pane="topLeft" activeCell="A8" sqref="A8"/>
      <selection pane="topRight" activeCell="A37" sqref="A37"/>
    </sheetView>
  </sheetViews>
  <sheetFormatPr defaultColWidth="9.140625" defaultRowHeight="12.75"/>
  <cols>
    <col min="1" max="1" width="36.140625" style="78" customWidth="1"/>
    <col min="2" max="2" width="17.28125" style="78" customWidth="1"/>
    <col min="3" max="4" width="17.7109375" style="78" customWidth="1"/>
    <col min="5" max="9" width="17.28125" style="78" customWidth="1"/>
    <col min="10" max="11" width="17.00390625" style="78" customWidth="1"/>
    <col min="12" max="13" width="17.28125" style="78" customWidth="1"/>
    <col min="14" max="14" width="18.57421875" style="78" customWidth="1"/>
    <col min="15" max="15" width="9.140625" style="78" customWidth="1"/>
    <col min="16" max="16" width="7.57421875" style="78" customWidth="1"/>
    <col min="17" max="16384" width="9.140625" style="78" customWidth="1"/>
  </cols>
  <sheetData>
    <row r="2" spans="1:13" ht="12.7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2.7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2.7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2.75">
      <c r="A5"/>
      <c r="B5"/>
      <c r="C5"/>
      <c r="D5"/>
      <c r="E5"/>
      <c r="F5"/>
      <c r="G5"/>
      <c r="H5"/>
      <c r="I5"/>
      <c r="J5"/>
      <c r="K5"/>
      <c r="L5"/>
      <c r="M5"/>
    </row>
    <row r="6" spans="1:15" ht="12.75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1:15" ht="12.75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</row>
    <row r="9" spans="1:14" ht="18">
      <c r="A9" s="412" t="s">
        <v>215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</row>
    <row r="11" spans="1:14" s="88" customFormat="1" ht="12.75">
      <c r="A11" s="89" t="s">
        <v>69</v>
      </c>
      <c r="B11" s="89" t="s">
        <v>16</v>
      </c>
      <c r="C11" s="89" t="s">
        <v>17</v>
      </c>
      <c r="D11" s="89" t="s">
        <v>18</v>
      </c>
      <c r="E11" s="89" t="s">
        <v>68</v>
      </c>
      <c r="F11" s="89" t="s">
        <v>67</v>
      </c>
      <c r="G11" s="89" t="s">
        <v>66</v>
      </c>
      <c r="H11" s="89" t="s">
        <v>39</v>
      </c>
      <c r="I11" s="89" t="s">
        <v>40</v>
      </c>
      <c r="J11" s="89" t="s">
        <v>41</v>
      </c>
      <c r="K11" s="89" t="s">
        <v>42</v>
      </c>
      <c r="L11" s="89" t="s">
        <v>43</v>
      </c>
      <c r="M11" s="89" t="s">
        <v>44</v>
      </c>
      <c r="N11" s="89" t="s">
        <v>65</v>
      </c>
    </row>
    <row r="12" spans="1:14" ht="12.75">
      <c r="A12" s="84" t="s">
        <v>64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1"/>
    </row>
    <row r="13" spans="1:14" ht="12.75">
      <c r="A13" s="86" t="s">
        <v>63</v>
      </c>
      <c r="B13" s="81">
        <v>126297.47</v>
      </c>
      <c r="C13" s="81">
        <v>687604.99</v>
      </c>
      <c r="D13" s="81">
        <v>622067.53</v>
      </c>
      <c r="E13" s="81">
        <v>633121.42</v>
      </c>
      <c r="F13" s="81">
        <v>574748.16</v>
      </c>
      <c r="G13" s="81">
        <v>586950.92</v>
      </c>
      <c r="H13" s="81">
        <v>527371.66</v>
      </c>
      <c r="I13" s="81">
        <v>579999.71</v>
      </c>
      <c r="J13" s="81">
        <v>513646.4</v>
      </c>
      <c r="K13" s="81">
        <v>552380.14</v>
      </c>
      <c r="L13" s="81">
        <v>590845.86</v>
      </c>
      <c r="M13" s="81">
        <v>163783.76</v>
      </c>
      <c r="N13" s="81">
        <f>SUM(B13:M13)</f>
        <v>6158818.0200000005</v>
      </c>
    </row>
    <row r="14" spans="1:14" ht="12.75">
      <c r="A14" s="84" t="s">
        <v>62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82" t="s">
        <v>61</v>
      </c>
      <c r="B15" s="81">
        <v>152531.85</v>
      </c>
      <c r="C15" s="81">
        <v>107752.54</v>
      </c>
      <c r="D15" s="81">
        <v>162998.07</v>
      </c>
      <c r="E15" s="81">
        <v>145408.82</v>
      </c>
      <c r="F15" s="81">
        <v>144436.44</v>
      </c>
      <c r="G15" s="81">
        <v>107218.99</v>
      </c>
      <c r="H15" s="81">
        <v>140662.53</v>
      </c>
      <c r="I15" s="81">
        <v>168842.17</v>
      </c>
      <c r="J15" s="81">
        <v>145664.29</v>
      </c>
      <c r="K15" s="81">
        <v>138169.17</v>
      </c>
      <c r="L15" s="81">
        <v>52496.29</v>
      </c>
      <c r="M15" s="81">
        <v>192948.01</v>
      </c>
      <c r="N15" s="81">
        <f>SUM(B15:M15)</f>
        <v>1659129.17</v>
      </c>
    </row>
    <row r="16" spans="1:14" ht="12.75">
      <c r="A16" s="84" t="s">
        <v>60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12.75">
      <c r="A17" s="86" t="s">
        <v>59</v>
      </c>
      <c r="B17" s="81">
        <v>254146</v>
      </c>
      <c r="C17" s="81">
        <v>231018.38</v>
      </c>
      <c r="D17" s="81">
        <v>249894.8</v>
      </c>
      <c r="E17" s="81">
        <v>259884.78</v>
      </c>
      <c r="F17" s="81">
        <v>302726.76</v>
      </c>
      <c r="G17" s="81">
        <v>222383.67</v>
      </c>
      <c r="H17" s="81">
        <v>368877.08</v>
      </c>
      <c r="I17" s="81">
        <v>518291.09</v>
      </c>
      <c r="J17" s="81">
        <v>361644.3</v>
      </c>
      <c r="K17" s="81">
        <v>305730.91</v>
      </c>
      <c r="L17" s="81">
        <v>86583.09</v>
      </c>
      <c r="M17" s="81">
        <v>350832.07</v>
      </c>
      <c r="N17" s="81">
        <f>SUM(B17:M17)</f>
        <v>3512012.9299999997</v>
      </c>
    </row>
    <row r="18" spans="1:14" ht="12.75">
      <c r="A18" s="84" t="s">
        <v>58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1:14" ht="12.75">
      <c r="A19" s="82" t="s">
        <v>206</v>
      </c>
      <c r="B19" s="81">
        <v>300173.28</v>
      </c>
      <c r="C19" s="81">
        <v>225510.43</v>
      </c>
      <c r="D19" s="81">
        <v>411586.15</v>
      </c>
      <c r="E19" s="81">
        <v>278764.71</v>
      </c>
      <c r="F19" s="81">
        <v>694168.11</v>
      </c>
      <c r="G19" s="81">
        <v>730138.04</v>
      </c>
      <c r="H19" s="81">
        <v>1218215.09</v>
      </c>
      <c r="I19" s="81">
        <v>1216071.89</v>
      </c>
      <c r="J19" s="81">
        <v>918458.79</v>
      </c>
      <c r="K19" s="81">
        <v>403920.96</v>
      </c>
      <c r="L19" s="81">
        <v>437590.47</v>
      </c>
      <c r="M19" s="81">
        <v>307788.61</v>
      </c>
      <c r="N19" s="81">
        <f>SUM(B19:M19)</f>
        <v>7142386.53</v>
      </c>
    </row>
    <row r="20" spans="1:14" ht="12.75">
      <c r="A20" s="82" t="s">
        <v>207</v>
      </c>
      <c r="B20" s="81">
        <v>519000</v>
      </c>
      <c r="C20" s="81">
        <f>610000+65000</f>
        <v>675000</v>
      </c>
      <c r="D20" s="81">
        <v>615000</v>
      </c>
      <c r="E20" s="81">
        <v>615000</v>
      </c>
      <c r="F20" s="81">
        <v>615000</v>
      </c>
      <c r="G20" s="81">
        <v>550000</v>
      </c>
      <c r="H20" s="81">
        <v>550000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f>SUM(B20:M20)</f>
        <v>4139000</v>
      </c>
    </row>
    <row r="21" spans="1:14" ht="12.75">
      <c r="A21" s="84" t="s">
        <v>57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2.75">
      <c r="A22" s="82" t="s">
        <v>54</v>
      </c>
      <c r="B22" s="81">
        <v>186.6</v>
      </c>
      <c r="C22" s="81">
        <v>167.94</v>
      </c>
      <c r="D22" s="81">
        <v>149.28</v>
      </c>
      <c r="E22" s="81">
        <v>130.62</v>
      </c>
      <c r="F22" s="81">
        <v>208.18</v>
      </c>
      <c r="G22" s="81">
        <v>208.81</v>
      </c>
      <c r="H22" s="81">
        <v>8251.11</v>
      </c>
      <c r="I22" s="81">
        <v>252.77</v>
      </c>
      <c r="J22" s="81">
        <v>131.88</v>
      </c>
      <c r="K22" s="81">
        <v>219.8</v>
      </c>
      <c r="L22" s="81">
        <v>153.86</v>
      </c>
      <c r="M22" s="81">
        <v>208.81</v>
      </c>
      <c r="N22" s="81">
        <f>SUM(B22:M22)</f>
        <v>10269.66</v>
      </c>
    </row>
    <row r="23" spans="1:14" ht="12.75">
      <c r="A23" s="82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2.75">
      <c r="A24" s="301" t="s">
        <v>209</v>
      </c>
      <c r="B24" s="302">
        <f>SUM(B13:B23)</f>
        <v>1352335.2000000002</v>
      </c>
      <c r="C24" s="302">
        <f aca="true" t="shared" si="0" ref="C24:M24">SUM(C13:C23)</f>
        <v>1927054.28</v>
      </c>
      <c r="D24" s="302">
        <f t="shared" si="0"/>
        <v>2061695.8300000003</v>
      </c>
      <c r="E24" s="302">
        <f t="shared" si="0"/>
        <v>1932310.35</v>
      </c>
      <c r="F24" s="302">
        <f t="shared" si="0"/>
        <v>2331287.6500000004</v>
      </c>
      <c r="G24" s="302">
        <f t="shared" si="0"/>
        <v>2196900.43</v>
      </c>
      <c r="H24" s="302">
        <f t="shared" si="0"/>
        <v>2813377.47</v>
      </c>
      <c r="I24" s="302">
        <f t="shared" si="0"/>
        <v>2483457.63</v>
      </c>
      <c r="J24" s="302">
        <f t="shared" si="0"/>
        <v>1939545.66</v>
      </c>
      <c r="K24" s="302">
        <f t="shared" si="0"/>
        <v>1400420.98</v>
      </c>
      <c r="L24" s="302">
        <f t="shared" si="0"/>
        <v>1167669.57</v>
      </c>
      <c r="M24" s="302">
        <f t="shared" si="0"/>
        <v>1015561.2600000001</v>
      </c>
      <c r="N24" s="302">
        <f>SUM(N13:N23)</f>
        <v>22621616.310000002</v>
      </c>
    </row>
    <row r="25" spans="1:14" ht="12.75">
      <c r="A25" s="84" t="s">
        <v>49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ht="12.75">
      <c r="A26" s="82" t="s">
        <v>48</v>
      </c>
      <c r="B26" s="81">
        <v>182.94</v>
      </c>
      <c r="C26" s="81">
        <f>251.09+483.28+7.5</f>
        <v>741.87</v>
      </c>
      <c r="D26" s="81">
        <v>6238.71</v>
      </c>
      <c r="E26" s="81">
        <f>756.93+41.7</f>
        <v>798.63</v>
      </c>
      <c r="F26" s="81">
        <v>12492.75</v>
      </c>
      <c r="G26" s="81">
        <v>810.67</v>
      </c>
      <c r="H26" s="81">
        <f>127.96+68.22+69.69+25.9+8.64+3+735.9</f>
        <v>1039.31</v>
      </c>
      <c r="I26" s="81">
        <v>26093.9</v>
      </c>
      <c r="J26" s="81">
        <f>67.56+22.85+13.39+14197.66+72.26+144.52+0.01+440.23+10.35+95.01+82.04+8.68+194.13+1.47+41.42+26.91+23.14+71.25+16.07+220.25+1541.75+80.6+108.5+55.8+262.21+55.12</f>
        <v>17853.179999999993</v>
      </c>
      <c r="K26" s="81">
        <v>5104.4</v>
      </c>
      <c r="L26" s="81">
        <v>584.79</v>
      </c>
      <c r="M26" s="81">
        <v>2044.42</v>
      </c>
      <c r="N26" s="81">
        <f>SUM(B26:M26)</f>
        <v>73985.56999999998</v>
      </c>
    </row>
    <row r="27" spans="1:14" ht="12.75">
      <c r="A27" s="84" t="s">
        <v>53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ht="12.75">
      <c r="A28" s="82" t="s">
        <v>56</v>
      </c>
      <c r="B28" s="81">
        <f>16554+13507.34</f>
        <v>30061.34</v>
      </c>
      <c r="C28" s="81">
        <f>96.2+2809.04+13752.24+481+920.23+1924</f>
        <v>19982.71</v>
      </c>
      <c r="D28" s="81">
        <v>15992.9</v>
      </c>
      <c r="E28" s="81">
        <v>5949.12</v>
      </c>
      <c r="F28" s="81">
        <v>3779.52</v>
      </c>
      <c r="G28" s="81">
        <v>3318.42</v>
      </c>
      <c r="H28" s="81">
        <f>160.86+1057.08+1953.3+45.96+298.74+160.86+1838.4+1190.48</f>
        <v>6705.68</v>
      </c>
      <c r="I28" s="81">
        <v>8595.67</v>
      </c>
      <c r="J28" s="81">
        <f>1378.8+2298</f>
        <v>3676.8</v>
      </c>
      <c r="K28" s="81">
        <v>4640.47</v>
      </c>
      <c r="L28" s="81">
        <v>1861.38</v>
      </c>
      <c r="M28" s="81">
        <v>13429.66</v>
      </c>
      <c r="N28" s="81">
        <f>SUM(B28:M28)</f>
        <v>117993.67000000001</v>
      </c>
    </row>
    <row r="29" spans="1:14" ht="12.75">
      <c r="A29" s="82" t="s">
        <v>55</v>
      </c>
      <c r="B29" s="81">
        <v>23506.1</v>
      </c>
      <c r="C29" s="81">
        <f>41111.32+1523.99</f>
        <v>42635.31</v>
      </c>
      <c r="D29" s="81">
        <v>41073.06</v>
      </c>
      <c r="E29" s="81">
        <v>1581.64</v>
      </c>
      <c r="F29" s="81">
        <v>10398.89</v>
      </c>
      <c r="G29" s="81">
        <v>6075.52</v>
      </c>
      <c r="H29" s="81">
        <f>3496+945.7</f>
        <v>4441.7</v>
      </c>
      <c r="I29" s="81">
        <v>4028.13</v>
      </c>
      <c r="J29" s="81">
        <v>9804</v>
      </c>
      <c r="K29" s="81">
        <v>9385.75</v>
      </c>
      <c r="L29" s="81">
        <v>2280</v>
      </c>
      <c r="M29" s="81">
        <v>4406.71</v>
      </c>
      <c r="N29" s="81">
        <f>SUM(B29:M29)</f>
        <v>159616.81</v>
      </c>
    </row>
    <row r="30" spans="1:14" ht="12.75">
      <c r="A30" s="85" t="s">
        <v>52</v>
      </c>
      <c r="B30" s="81">
        <v>0</v>
      </c>
      <c r="C30" s="81">
        <v>0</v>
      </c>
      <c r="D30" s="81">
        <v>134.69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f>SUM(B30:M30)</f>
        <v>134.69</v>
      </c>
    </row>
    <row r="31" spans="1:14" ht="12.75">
      <c r="A31" s="82" t="s">
        <v>51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f>SUM(B31:M31)</f>
        <v>0</v>
      </c>
    </row>
    <row r="32" spans="1:14" ht="12.75">
      <c r="A32" s="82" t="s">
        <v>50</v>
      </c>
      <c r="B32" s="81">
        <v>0</v>
      </c>
      <c r="C32" s="81">
        <v>500</v>
      </c>
      <c r="D32" s="81">
        <v>500</v>
      </c>
      <c r="E32" s="81">
        <v>100</v>
      </c>
      <c r="F32" s="81">
        <v>150</v>
      </c>
      <c r="G32" s="81">
        <v>300</v>
      </c>
      <c r="H32" s="81">
        <v>0</v>
      </c>
      <c r="I32" s="81">
        <v>150</v>
      </c>
      <c r="J32" s="81">
        <v>0</v>
      </c>
      <c r="K32" s="81">
        <v>588</v>
      </c>
      <c r="L32" s="81">
        <v>0</v>
      </c>
      <c r="M32" s="81">
        <f>588+70</f>
        <v>658</v>
      </c>
      <c r="N32" s="81">
        <f>SUM(B32:M32)</f>
        <v>2946</v>
      </c>
    </row>
    <row r="33" spans="1:16" ht="12.75">
      <c r="A33" s="303" t="s">
        <v>208</v>
      </c>
      <c r="B33" s="308">
        <f aca="true" t="shared" si="1" ref="B33:H33">SUM(B26:B32)</f>
        <v>53750.38</v>
      </c>
      <c r="C33" s="308">
        <f t="shared" si="1"/>
        <v>63859.89</v>
      </c>
      <c r="D33" s="308">
        <f t="shared" si="1"/>
        <v>63939.36</v>
      </c>
      <c r="E33" s="308">
        <f t="shared" si="1"/>
        <v>8429.39</v>
      </c>
      <c r="F33" s="308">
        <f t="shared" si="1"/>
        <v>26821.16</v>
      </c>
      <c r="G33" s="308">
        <f t="shared" si="1"/>
        <v>10504.61</v>
      </c>
      <c r="H33" s="308">
        <f t="shared" si="1"/>
        <v>12186.689999999999</v>
      </c>
      <c r="I33" s="308">
        <f aca="true" t="shared" si="2" ref="I33:N33">SUM(I26:I32)</f>
        <v>38867.7</v>
      </c>
      <c r="J33" s="308">
        <f t="shared" si="2"/>
        <v>31333.979999999992</v>
      </c>
      <c r="K33" s="308">
        <f t="shared" si="2"/>
        <v>19718.62</v>
      </c>
      <c r="L33" s="308">
        <f t="shared" si="2"/>
        <v>4726.17</v>
      </c>
      <c r="M33" s="308">
        <f t="shared" si="2"/>
        <v>20538.79</v>
      </c>
      <c r="N33" s="308">
        <f t="shared" si="2"/>
        <v>354676.74</v>
      </c>
      <c r="P33" s="83"/>
    </row>
    <row r="34" ht="12.75">
      <c r="P34" s="83"/>
    </row>
    <row r="35" ht="12.75">
      <c r="O35" s="80"/>
    </row>
    <row r="36" spans="1:14" ht="12.75">
      <c r="A36" s="304" t="s">
        <v>210</v>
      </c>
      <c r="B36" s="305">
        <f aca="true" t="shared" si="3" ref="B36:N36">B24+B33</f>
        <v>1406085.58</v>
      </c>
      <c r="C36" s="305">
        <f t="shared" si="3"/>
        <v>1990914.17</v>
      </c>
      <c r="D36" s="305">
        <f t="shared" si="3"/>
        <v>2125635.1900000004</v>
      </c>
      <c r="E36" s="305">
        <f t="shared" si="3"/>
        <v>1940739.74</v>
      </c>
      <c r="F36" s="305">
        <f t="shared" si="3"/>
        <v>2358108.8100000005</v>
      </c>
      <c r="G36" s="305">
        <f t="shared" si="3"/>
        <v>2207405.04</v>
      </c>
      <c r="H36" s="305">
        <f t="shared" si="3"/>
        <v>2825564.16</v>
      </c>
      <c r="I36" s="305">
        <f>I24+I33</f>
        <v>2522325.33</v>
      </c>
      <c r="J36" s="305">
        <f t="shared" si="3"/>
        <v>1970879.64</v>
      </c>
      <c r="K36" s="305">
        <f>K24+K33</f>
        <v>1420139.6</v>
      </c>
      <c r="L36" s="305">
        <f>L24+L33</f>
        <v>1172395.74</v>
      </c>
      <c r="M36" s="305">
        <f t="shared" si="3"/>
        <v>1036100.0500000002</v>
      </c>
      <c r="N36" s="305">
        <f t="shared" si="3"/>
        <v>22976293.05</v>
      </c>
    </row>
    <row r="37" spans="1:13" ht="18">
      <c r="A37" s="362">
        <f>SUM(B36:M36)</f>
        <v>22976293.050000004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4:7" ht="12.75">
      <c r="D38" s="261"/>
      <c r="G38" s="261"/>
    </row>
    <row r="39" ht="12.75">
      <c r="E39" s="334"/>
    </row>
    <row r="41" ht="12.75">
      <c r="L41" s="334"/>
    </row>
    <row r="47" ht="12.75">
      <c r="C47" s="261">
        <f>A37-N36</f>
        <v>0</v>
      </c>
    </row>
  </sheetData>
  <sheetProtection/>
  <mergeCells count="3">
    <mergeCell ref="A9:N9"/>
    <mergeCell ref="A6:O6"/>
    <mergeCell ref="A7:O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42"/>
  <sheetViews>
    <sheetView showGridLines="0" zoomScale="75" zoomScaleNormal="75" zoomScalePageLayoutView="0" workbookViewId="0" topLeftCell="A7">
      <selection activeCell="A33" sqref="A33"/>
    </sheetView>
  </sheetViews>
  <sheetFormatPr defaultColWidth="9.140625" defaultRowHeight="12.75"/>
  <cols>
    <col min="1" max="1" width="31.57421875" style="0" bestFit="1" customWidth="1"/>
    <col min="2" max="2" width="19.7109375" style="0" bestFit="1" customWidth="1"/>
    <col min="3" max="3" width="5.57421875" style="0" bestFit="1" customWidth="1"/>
    <col min="4" max="4" width="32.7109375" style="0" customWidth="1"/>
    <col min="5" max="5" width="20.00390625" style="0" bestFit="1" customWidth="1"/>
    <col min="6" max="6" width="18.00390625" style="0" bestFit="1" customWidth="1"/>
    <col min="7" max="7" width="16.8515625" style="0" bestFit="1" customWidth="1"/>
  </cols>
  <sheetData>
    <row r="5" ht="13.5" thickBot="1"/>
    <row r="6" spans="1:5" ht="15.75" thickBot="1">
      <c r="A6" s="423" t="s">
        <v>146</v>
      </c>
      <c r="B6" s="424"/>
      <c r="C6" s="424"/>
      <c r="D6" s="424"/>
      <c r="E6" s="425"/>
    </row>
    <row r="7" spans="1:5" ht="15.75" thickBot="1">
      <c r="A7" s="426" t="s">
        <v>154</v>
      </c>
      <c r="B7" s="427"/>
      <c r="C7" s="427"/>
      <c r="D7" s="427"/>
      <c r="E7" s="428"/>
    </row>
    <row r="8" spans="4:5" ht="16.5" thickBot="1">
      <c r="D8" s="432"/>
      <c r="E8" s="432"/>
    </row>
    <row r="9" spans="1:5" ht="21.75" thickBot="1">
      <c r="A9" s="429" t="s">
        <v>201</v>
      </c>
      <c r="B9" s="430"/>
      <c r="C9" s="196"/>
      <c r="D9" s="429" t="s">
        <v>216</v>
      </c>
      <c r="E9" s="430"/>
    </row>
    <row r="10" spans="1:5" ht="18.75">
      <c r="A10" s="431" t="s">
        <v>153</v>
      </c>
      <c r="B10" s="431"/>
      <c r="C10" s="196"/>
      <c r="D10" s="431" t="s">
        <v>174</v>
      </c>
      <c r="E10" s="431"/>
    </row>
    <row r="11" spans="1:7" ht="18.75">
      <c r="A11" s="209" t="s">
        <v>152</v>
      </c>
      <c r="B11" s="234">
        <v>5682915.62</v>
      </c>
      <c r="D11" s="209" t="s">
        <v>152</v>
      </c>
      <c r="E11" s="310">
        <v>6158818.02</v>
      </c>
      <c r="G11" s="277"/>
    </row>
    <row r="12" spans="1:5" ht="18.75">
      <c r="A12" s="209" t="s">
        <v>151</v>
      </c>
      <c r="B12" s="232">
        <v>1944176.08</v>
      </c>
      <c r="D12" s="209" t="s">
        <v>151</v>
      </c>
      <c r="E12" s="232">
        <v>1659129.17</v>
      </c>
    </row>
    <row r="13" spans="1:5" ht="18.75">
      <c r="A13" s="209" t="s">
        <v>150</v>
      </c>
      <c r="B13" s="232">
        <v>3479696.51</v>
      </c>
      <c r="D13" s="209" t="s">
        <v>150</v>
      </c>
      <c r="E13" s="232">
        <v>3512012.93</v>
      </c>
    </row>
    <row r="14" spans="1:5" ht="18.75">
      <c r="A14" s="209" t="s">
        <v>149</v>
      </c>
      <c r="B14" s="233">
        <v>10747868.3</v>
      </c>
      <c r="D14" s="209" t="s">
        <v>149</v>
      </c>
      <c r="E14" s="233">
        <f>7142386.53+4139000</f>
        <v>11281386.530000001</v>
      </c>
    </row>
    <row r="15" spans="1:5" ht="18.75">
      <c r="A15" s="209" t="s">
        <v>373</v>
      </c>
      <c r="B15" s="232">
        <f>165318.03+314041.47+2470.63+19861.19+35497.58+242.58+32969.26+37652.89+177.27+27317.02+35589.91+223.92</f>
        <v>671361.7500000001</v>
      </c>
      <c r="D15" s="209" t="s">
        <v>373</v>
      </c>
      <c r="E15" s="232">
        <f>10269.66+117993.67+159616.81</f>
        <v>287880.14</v>
      </c>
    </row>
    <row r="16" spans="1:5" ht="18.75">
      <c r="A16" s="209" t="s">
        <v>148</v>
      </c>
      <c r="B16" s="233">
        <v>142021.96</v>
      </c>
      <c r="D16" s="209" t="s">
        <v>148</v>
      </c>
      <c r="E16" s="233">
        <v>73985.57</v>
      </c>
    </row>
    <row r="17" spans="1:5" ht="18.75">
      <c r="A17" s="209" t="s">
        <v>147</v>
      </c>
      <c r="B17" s="232">
        <f>176.14+2550+500+50</f>
        <v>3276.14</v>
      </c>
      <c r="D17" s="209" t="s">
        <v>147</v>
      </c>
      <c r="E17" s="232">
        <f>134.69+2946</f>
        <v>3080.69</v>
      </c>
    </row>
    <row r="18" spans="1:7" ht="18.75">
      <c r="A18" s="231" t="s">
        <v>122</v>
      </c>
      <c r="B18" s="230">
        <f>SUM(B11:B17)</f>
        <v>22671316.360000003</v>
      </c>
      <c r="D18" s="231" t="s">
        <v>122</v>
      </c>
      <c r="E18" s="230">
        <f>SUM(E11:E17)</f>
        <v>22976293.05</v>
      </c>
      <c r="F18" s="359"/>
      <c r="G18" s="189"/>
    </row>
    <row r="19" spans="1:7" ht="18.75">
      <c r="A19" s="229" t="s">
        <v>121</v>
      </c>
      <c r="B19" s="228">
        <f>B18/12</f>
        <v>1889276.3633333335</v>
      </c>
      <c r="D19" s="229" t="s">
        <v>121</v>
      </c>
      <c r="E19" s="228">
        <f>E18/12</f>
        <v>1914691.0875000001</v>
      </c>
      <c r="F19" s="227"/>
      <c r="G19" s="227"/>
    </row>
    <row r="20" spans="1:5" ht="18.75">
      <c r="A20" s="433"/>
      <c r="B20" s="433"/>
      <c r="C20" s="226"/>
      <c r="D20" s="433"/>
      <c r="E20" s="433"/>
    </row>
    <row r="21" spans="1:5" ht="18.75">
      <c r="A21" s="225"/>
      <c r="B21" s="224"/>
      <c r="C21" s="226"/>
      <c r="D21" s="225"/>
      <c r="E21" s="224"/>
    </row>
    <row r="22" ht="13.5" thickBot="1"/>
    <row r="23" spans="1:7" ht="15.75" thickBot="1">
      <c r="A23" s="423" t="s">
        <v>120</v>
      </c>
      <c r="B23" s="424"/>
      <c r="C23" s="424"/>
      <c r="D23" s="424"/>
      <c r="E23" s="424"/>
      <c r="F23" s="424"/>
      <c r="G23" s="425"/>
    </row>
    <row r="24" ht="13.5" thickBot="1"/>
    <row r="25" spans="1:7" ht="16.5" thickBot="1">
      <c r="A25" s="417" t="s">
        <v>495</v>
      </c>
      <c r="B25" s="418"/>
      <c r="C25" s="196"/>
      <c r="D25" s="419" t="s">
        <v>496</v>
      </c>
      <c r="E25" s="420"/>
      <c r="G25" s="222" t="s">
        <v>119</v>
      </c>
    </row>
    <row r="26" spans="1:9" ht="18.75">
      <c r="A26" s="415">
        <v>1519272.99</v>
      </c>
      <c r="B26" s="416"/>
      <c r="C26" s="194"/>
      <c r="D26" s="415">
        <v>1036100.05</v>
      </c>
      <c r="E26" s="416"/>
      <c r="F26" s="220"/>
      <c r="G26" s="292">
        <v>-0.318</v>
      </c>
      <c r="I26" s="355" t="s">
        <v>12</v>
      </c>
    </row>
    <row r="27" ht="13.5" thickBot="1">
      <c r="G27" s="223"/>
    </row>
    <row r="28" spans="1:7" ht="16.5" thickBot="1">
      <c r="A28" s="417" t="s">
        <v>483</v>
      </c>
      <c r="B28" s="418"/>
      <c r="C28" s="196"/>
      <c r="D28" s="419" t="s">
        <v>496</v>
      </c>
      <c r="E28" s="420"/>
      <c r="F28" s="221"/>
      <c r="G28" s="222" t="s">
        <v>119</v>
      </c>
    </row>
    <row r="29" spans="1:11" ht="18.75">
      <c r="A29" s="415">
        <v>1172395.74</v>
      </c>
      <c r="B29" s="416"/>
      <c r="C29" s="194"/>
      <c r="D29" s="415">
        <f>D26</f>
        <v>1036100.05</v>
      </c>
      <c r="E29" s="416"/>
      <c r="F29" s="347"/>
      <c r="G29" s="264">
        <v>-0.1163</v>
      </c>
      <c r="H29" s="262"/>
      <c r="J29" s="355" t="s">
        <v>12</v>
      </c>
      <c r="K29" s="355" t="s">
        <v>12</v>
      </c>
    </row>
    <row r="30" spans="4:7" ht="13.5" thickBot="1">
      <c r="D30" s="219"/>
      <c r="F30" s="221"/>
      <c r="G30" s="220"/>
    </row>
    <row r="31" spans="1:6" ht="15.75">
      <c r="A31" s="417" t="s">
        <v>497</v>
      </c>
      <c r="B31" s="418"/>
      <c r="F31" s="263"/>
    </row>
    <row r="32" spans="1:4" ht="18.75">
      <c r="A32" s="421">
        <v>22976293.05</v>
      </c>
      <c r="B32" s="422"/>
      <c r="D32" s="218"/>
    </row>
    <row r="33" spans="1:4" ht="18.75">
      <c r="A33" s="217"/>
      <c r="B33" s="414"/>
      <c r="C33" s="414"/>
      <c r="D33" s="360"/>
    </row>
    <row r="34" spans="1:4" ht="18.75">
      <c r="A34" s="219"/>
      <c r="B34" s="278"/>
      <c r="D34" s="189"/>
    </row>
    <row r="35" spans="1:2" ht="15">
      <c r="A35" s="191"/>
      <c r="B35" s="217"/>
    </row>
    <row r="36" ht="15">
      <c r="B36" s="217"/>
    </row>
    <row r="37" spans="2:4" ht="15">
      <c r="B37" s="217"/>
      <c r="D37" s="217"/>
    </row>
    <row r="38" spans="2:4" ht="15">
      <c r="B38" s="218"/>
      <c r="D38" s="217"/>
    </row>
    <row r="39" ht="15">
      <c r="D39" s="217"/>
    </row>
    <row r="40" ht="15">
      <c r="D40" s="217"/>
    </row>
    <row r="41" ht="15">
      <c r="D41" s="217"/>
    </row>
    <row r="42" ht="15">
      <c r="D42" s="217"/>
    </row>
  </sheetData>
  <sheetProtection/>
  <mergeCells count="21">
    <mergeCell ref="D10:E10"/>
    <mergeCell ref="A29:B29"/>
    <mergeCell ref="D29:E29"/>
    <mergeCell ref="A6:E6"/>
    <mergeCell ref="A7:E7"/>
    <mergeCell ref="A9:B9"/>
    <mergeCell ref="D9:E9"/>
    <mergeCell ref="A10:B10"/>
    <mergeCell ref="A25:B25"/>
    <mergeCell ref="D8:E8"/>
    <mergeCell ref="A20:B20"/>
    <mergeCell ref="D20:E20"/>
    <mergeCell ref="A23:G23"/>
    <mergeCell ref="B33:C33"/>
    <mergeCell ref="D26:E26"/>
    <mergeCell ref="A28:B28"/>
    <mergeCell ref="D28:E28"/>
    <mergeCell ref="A26:B26"/>
    <mergeCell ref="D25:E25"/>
    <mergeCell ref="A31:B31"/>
    <mergeCell ref="A32:B32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6"/>
  <sheetViews>
    <sheetView showGridLines="0" tabSelected="1" zoomScale="75" zoomScaleNormal="75" zoomScalePageLayoutView="0" workbookViewId="0" topLeftCell="A91">
      <selection activeCell="O114" sqref="O114"/>
    </sheetView>
  </sheetViews>
  <sheetFormatPr defaultColWidth="11.421875" defaultRowHeight="12.75"/>
  <cols>
    <col min="1" max="1" width="38.57421875" style="141" customWidth="1"/>
    <col min="2" max="2" width="35.421875" style="169" customWidth="1"/>
    <col min="3" max="3" width="15.28125" style="168" customWidth="1"/>
    <col min="4" max="4" width="17.7109375" style="168" customWidth="1"/>
    <col min="5" max="5" width="0.13671875" style="167" customWidth="1"/>
    <col min="6" max="11" width="11.421875" style="167" hidden="1" customWidth="1"/>
    <col min="12" max="12" width="11.421875" style="109" customWidth="1"/>
    <col min="13" max="16384" width="11.421875" style="167" customWidth="1"/>
  </cols>
  <sheetData>
    <row r="2" spans="1:4" ht="18">
      <c r="A2" s="434" t="s">
        <v>217</v>
      </c>
      <c r="B2" s="434"/>
      <c r="C2" s="434"/>
      <c r="D2" s="434"/>
    </row>
    <row r="3" spans="1:12" s="114" customFormat="1" ht="18">
      <c r="A3" s="185" t="s">
        <v>116</v>
      </c>
      <c r="B3" s="184"/>
      <c r="C3" s="184"/>
      <c r="D3" s="184"/>
      <c r="L3" s="109"/>
    </row>
    <row r="4" spans="1:4" ht="18">
      <c r="A4" s="183" t="s">
        <v>115</v>
      </c>
      <c r="B4" s="183" t="s">
        <v>114</v>
      </c>
      <c r="C4" s="182" t="s">
        <v>113</v>
      </c>
      <c r="D4" s="181" t="s">
        <v>476</v>
      </c>
    </row>
    <row r="5" spans="1:4" ht="18">
      <c r="A5" s="180" t="s">
        <v>112</v>
      </c>
      <c r="B5" s="180" t="s">
        <v>111</v>
      </c>
      <c r="C5" s="179" t="s">
        <v>110</v>
      </c>
      <c r="D5" s="178" t="s">
        <v>109</v>
      </c>
    </row>
    <row r="6" spans="1:4" ht="18">
      <c r="A6" s="270" t="s">
        <v>200</v>
      </c>
      <c r="B6" s="271" t="s">
        <v>218</v>
      </c>
      <c r="C6" s="177">
        <v>4.94</v>
      </c>
      <c r="D6" s="177"/>
    </row>
    <row r="7" spans="1:4" ht="18">
      <c r="A7" s="171" t="s">
        <v>219</v>
      </c>
      <c r="B7" s="176" t="s">
        <v>220</v>
      </c>
      <c r="C7" s="177">
        <v>4.92</v>
      </c>
      <c r="D7" s="175"/>
    </row>
    <row r="8" spans="1:4" ht="18">
      <c r="A8" s="171" t="s">
        <v>221</v>
      </c>
      <c r="B8" s="176" t="s">
        <v>222</v>
      </c>
      <c r="C8" s="177">
        <v>2.67</v>
      </c>
      <c r="D8" s="175"/>
    </row>
    <row r="9" spans="1:4" ht="18">
      <c r="A9" s="171" t="s">
        <v>223</v>
      </c>
      <c r="B9" s="176" t="s">
        <v>224</v>
      </c>
      <c r="C9" s="177">
        <v>1.89</v>
      </c>
      <c r="D9" s="175"/>
    </row>
    <row r="10" spans="1:4" ht="18">
      <c r="A10" s="171" t="s">
        <v>228</v>
      </c>
      <c r="B10" s="176" t="s">
        <v>229</v>
      </c>
      <c r="C10" s="177">
        <v>0.68</v>
      </c>
      <c r="D10" s="175"/>
    </row>
    <row r="11" spans="1:4" ht="18">
      <c r="A11" s="171" t="s">
        <v>230</v>
      </c>
      <c r="B11" s="272" t="s">
        <v>231</v>
      </c>
      <c r="C11" s="177">
        <v>3.52</v>
      </c>
      <c r="D11" s="175"/>
    </row>
    <row r="12" spans="1:4" ht="18">
      <c r="A12" s="171" t="s">
        <v>234</v>
      </c>
      <c r="B12" s="176" t="s">
        <v>235</v>
      </c>
      <c r="C12" s="177">
        <v>1.97</v>
      </c>
      <c r="D12" s="175"/>
    </row>
    <row r="13" spans="1:12" ht="18">
      <c r="A13" s="173" t="s">
        <v>83</v>
      </c>
      <c r="B13" s="186" t="s">
        <v>16</v>
      </c>
      <c r="C13" s="172">
        <f>SUM(C6:C12)</f>
        <v>20.59</v>
      </c>
      <c r="D13" s="172">
        <f>31-C13</f>
        <v>10.41</v>
      </c>
      <c r="L13" s="109">
        <v>7</v>
      </c>
    </row>
    <row r="14" spans="1:4" ht="18">
      <c r="A14" s="171" t="s">
        <v>245</v>
      </c>
      <c r="B14" s="174" t="s">
        <v>246</v>
      </c>
      <c r="C14" s="170">
        <v>0.29</v>
      </c>
      <c r="D14" s="175"/>
    </row>
    <row r="15" spans="1:4" ht="18">
      <c r="A15" s="171" t="s">
        <v>249</v>
      </c>
      <c r="B15" s="174" t="s">
        <v>250</v>
      </c>
      <c r="C15" s="170">
        <v>2.93</v>
      </c>
      <c r="D15" s="175"/>
    </row>
    <row r="16" spans="1:4" ht="18">
      <c r="A16" s="171" t="s">
        <v>251</v>
      </c>
      <c r="B16" s="174" t="s">
        <v>252</v>
      </c>
      <c r="C16" s="170">
        <v>1.69</v>
      </c>
      <c r="D16" s="175"/>
    </row>
    <row r="17" spans="1:4" ht="18">
      <c r="A17" s="171" t="s">
        <v>253</v>
      </c>
      <c r="B17" s="174" t="s">
        <v>254</v>
      </c>
      <c r="C17" s="170">
        <v>2.51</v>
      </c>
      <c r="D17" s="175"/>
    </row>
    <row r="18" spans="1:4" ht="18">
      <c r="A18" s="171" t="s">
        <v>255</v>
      </c>
      <c r="B18" s="174" t="s">
        <v>256</v>
      </c>
      <c r="C18" s="170">
        <v>1.8</v>
      </c>
      <c r="D18" s="175"/>
    </row>
    <row r="19" spans="1:4" ht="18">
      <c r="A19" s="171" t="s">
        <v>263</v>
      </c>
      <c r="B19" s="176" t="s">
        <v>264</v>
      </c>
      <c r="C19" s="170">
        <v>2.17</v>
      </c>
      <c r="D19" s="175"/>
    </row>
    <row r="20" spans="1:4" ht="18">
      <c r="A20" s="171" t="s">
        <v>267</v>
      </c>
      <c r="B20" s="176" t="s">
        <v>268</v>
      </c>
      <c r="C20" s="170">
        <v>4.5</v>
      </c>
      <c r="D20" s="175"/>
    </row>
    <row r="21" spans="1:12" ht="18">
      <c r="A21" s="173" t="s">
        <v>83</v>
      </c>
      <c r="B21" s="186" t="s">
        <v>17</v>
      </c>
      <c r="C21" s="172">
        <f>SUM(C14:C20)</f>
        <v>15.89</v>
      </c>
      <c r="D21" s="172">
        <f>28-15.89</f>
        <v>12.11</v>
      </c>
      <c r="L21" s="109">
        <v>7</v>
      </c>
    </row>
    <row r="22" spans="1:4" ht="18">
      <c r="A22" s="171" t="s">
        <v>267</v>
      </c>
      <c r="B22" s="174" t="s">
        <v>269</v>
      </c>
      <c r="C22" s="170">
        <v>0.85</v>
      </c>
      <c r="D22" s="170"/>
    </row>
    <row r="23" spans="1:4" ht="18">
      <c r="A23" s="171" t="s">
        <v>272</v>
      </c>
      <c r="B23" s="174" t="s">
        <v>273</v>
      </c>
      <c r="C23" s="170">
        <v>1.06</v>
      </c>
      <c r="D23" s="170"/>
    </row>
    <row r="24" spans="1:4" ht="18">
      <c r="A24" s="171" t="s">
        <v>274</v>
      </c>
      <c r="B24" s="174" t="s">
        <v>275</v>
      </c>
      <c r="C24" s="170">
        <v>0.4</v>
      </c>
      <c r="D24" s="170"/>
    </row>
    <row r="25" spans="1:4" ht="18">
      <c r="A25" s="171" t="s">
        <v>278</v>
      </c>
      <c r="B25" s="174" t="s">
        <v>279</v>
      </c>
      <c r="C25" s="170">
        <v>3.77</v>
      </c>
      <c r="D25" s="170"/>
    </row>
    <row r="26" spans="1:4" ht="18">
      <c r="A26" s="171" t="s">
        <v>280</v>
      </c>
      <c r="B26" s="174" t="s">
        <v>281</v>
      </c>
      <c r="C26" s="170">
        <v>0.93</v>
      </c>
      <c r="D26" s="170"/>
    </row>
    <row r="27" spans="1:4" ht="18">
      <c r="A27" s="171" t="s">
        <v>282</v>
      </c>
      <c r="B27" s="174" t="s">
        <v>283</v>
      </c>
      <c r="C27" s="170">
        <v>2.73</v>
      </c>
      <c r="D27" s="170"/>
    </row>
    <row r="28" spans="1:4" ht="18">
      <c r="A28" s="171" t="s">
        <v>286</v>
      </c>
      <c r="B28" s="174" t="s">
        <v>287</v>
      </c>
      <c r="C28" s="170">
        <v>0.93</v>
      </c>
      <c r="D28" s="170"/>
    </row>
    <row r="29" spans="1:4" ht="18">
      <c r="A29" s="171" t="s">
        <v>290</v>
      </c>
      <c r="B29" s="174" t="s">
        <v>291</v>
      </c>
      <c r="C29" s="170">
        <v>3.12</v>
      </c>
      <c r="D29" s="170"/>
    </row>
    <row r="30" spans="1:4" ht="18">
      <c r="A30" s="171" t="s">
        <v>292</v>
      </c>
      <c r="B30" s="174" t="s">
        <v>293</v>
      </c>
      <c r="C30" s="170">
        <v>0.46</v>
      </c>
      <c r="D30" s="170"/>
    </row>
    <row r="31" spans="1:12" ht="18">
      <c r="A31" s="173" t="s">
        <v>83</v>
      </c>
      <c r="B31" s="186" t="s">
        <v>18</v>
      </c>
      <c r="C31" s="172">
        <f>SUM(C22:C30)</f>
        <v>14.25</v>
      </c>
      <c r="D31" s="172">
        <f>31-C31</f>
        <v>16.75</v>
      </c>
      <c r="L31" s="109">
        <v>8</v>
      </c>
    </row>
    <row r="32" spans="1:4" ht="18">
      <c r="A32" s="171" t="s">
        <v>294</v>
      </c>
      <c r="B32" s="174" t="s">
        <v>295</v>
      </c>
      <c r="C32" s="170">
        <v>0.19</v>
      </c>
      <c r="D32" s="170"/>
    </row>
    <row r="33" spans="1:4" ht="18">
      <c r="A33" s="171" t="s">
        <v>298</v>
      </c>
      <c r="B33" s="174" t="s">
        <v>299</v>
      </c>
      <c r="C33" s="170">
        <v>7.51</v>
      </c>
      <c r="D33" s="170"/>
    </row>
    <row r="34" spans="1:4" ht="18">
      <c r="A34" s="171" t="s">
        <v>302</v>
      </c>
      <c r="B34" s="174" t="s">
        <v>303</v>
      </c>
      <c r="C34" s="170">
        <v>5.21</v>
      </c>
      <c r="D34" s="170"/>
    </row>
    <row r="35" spans="1:4" ht="18">
      <c r="A35" s="171" t="s">
        <v>304</v>
      </c>
      <c r="B35" s="174" t="s">
        <v>305</v>
      </c>
      <c r="C35" s="170">
        <v>0.5</v>
      </c>
      <c r="D35" s="170"/>
    </row>
    <row r="36" spans="1:4" ht="18">
      <c r="A36" s="171" t="s">
        <v>306</v>
      </c>
      <c r="B36" s="174" t="s">
        <v>307</v>
      </c>
      <c r="C36" s="170">
        <v>2.52</v>
      </c>
      <c r="D36" s="170"/>
    </row>
    <row r="37" spans="1:4" ht="18">
      <c r="A37" s="171" t="s">
        <v>314</v>
      </c>
      <c r="B37" s="174" t="s">
        <v>315</v>
      </c>
      <c r="C37" s="170">
        <v>2.26</v>
      </c>
      <c r="D37" s="170"/>
    </row>
    <row r="38" spans="1:4" ht="18">
      <c r="A38" s="171" t="s">
        <v>318</v>
      </c>
      <c r="B38" s="174" t="s">
        <v>319</v>
      </c>
      <c r="C38" s="333">
        <v>0.006</v>
      </c>
      <c r="D38" s="170"/>
    </row>
    <row r="39" spans="1:12" ht="18">
      <c r="A39" s="173" t="s">
        <v>83</v>
      </c>
      <c r="B39" s="173" t="s">
        <v>68</v>
      </c>
      <c r="C39" s="172">
        <f>SUM(C32:C38)</f>
        <v>18.195999999999998</v>
      </c>
      <c r="D39" s="172">
        <f>30-C39</f>
        <v>11.804000000000002</v>
      </c>
      <c r="L39" s="109">
        <v>7</v>
      </c>
    </row>
    <row r="40" spans="1:4" ht="18">
      <c r="A40" s="171" t="s">
        <v>324</v>
      </c>
      <c r="B40" s="174" t="s">
        <v>325</v>
      </c>
      <c r="C40" s="170">
        <v>0.42</v>
      </c>
      <c r="D40" s="170"/>
    </row>
    <row r="41" spans="1:4" ht="18">
      <c r="A41" s="171" t="s">
        <v>328</v>
      </c>
      <c r="B41" s="174" t="s">
        <v>329</v>
      </c>
      <c r="C41" s="170">
        <v>1.73</v>
      </c>
      <c r="D41" s="170"/>
    </row>
    <row r="42" spans="1:4" ht="18">
      <c r="A42" s="171" t="s">
        <v>330</v>
      </c>
      <c r="B42" s="174" t="s">
        <v>331</v>
      </c>
      <c r="C42" s="170">
        <v>1.68</v>
      </c>
      <c r="D42" s="170"/>
    </row>
    <row r="43" spans="1:4" ht="18">
      <c r="A43" s="171" t="s">
        <v>332</v>
      </c>
      <c r="B43" s="174" t="s">
        <v>333</v>
      </c>
      <c r="C43" s="170">
        <v>2.38</v>
      </c>
      <c r="D43" s="170"/>
    </row>
    <row r="44" spans="1:4" ht="18">
      <c r="A44" s="171" t="s">
        <v>336</v>
      </c>
      <c r="B44" s="174" t="s">
        <v>337</v>
      </c>
      <c r="C44" s="170">
        <v>2.3</v>
      </c>
      <c r="D44" s="170"/>
    </row>
    <row r="45" spans="1:4" ht="18">
      <c r="A45" s="171" t="s">
        <v>338</v>
      </c>
      <c r="B45" s="174" t="s">
        <v>339</v>
      </c>
      <c r="C45" s="170">
        <v>0.43</v>
      </c>
      <c r="D45" s="170"/>
    </row>
    <row r="46" spans="1:4" ht="18">
      <c r="A46" s="171" t="s">
        <v>340</v>
      </c>
      <c r="B46" s="174" t="s">
        <v>341</v>
      </c>
      <c r="C46" s="170">
        <v>0.72</v>
      </c>
      <c r="D46" s="170"/>
    </row>
    <row r="47" spans="1:4" ht="18">
      <c r="A47" s="171" t="s">
        <v>342</v>
      </c>
      <c r="B47" s="174" t="s">
        <v>343</v>
      </c>
      <c r="C47" s="170">
        <v>0.55</v>
      </c>
      <c r="D47" s="170"/>
    </row>
    <row r="48" spans="1:4" ht="18">
      <c r="A48" s="171" t="s">
        <v>346</v>
      </c>
      <c r="B48" s="174" t="s">
        <v>347</v>
      </c>
      <c r="C48" s="170">
        <v>1.27</v>
      </c>
      <c r="D48" s="170"/>
    </row>
    <row r="49" spans="1:4" ht="18">
      <c r="A49" s="171" t="s">
        <v>350</v>
      </c>
      <c r="B49" s="174" t="s">
        <v>351</v>
      </c>
      <c r="C49" s="170">
        <v>2.4</v>
      </c>
      <c r="D49" s="170"/>
    </row>
    <row r="50" spans="1:12" ht="18">
      <c r="A50" s="173" t="s">
        <v>83</v>
      </c>
      <c r="B50" s="173" t="s">
        <v>67</v>
      </c>
      <c r="C50" s="172">
        <f>SUM(C40:C49)</f>
        <v>13.88</v>
      </c>
      <c r="D50" s="172">
        <f>31-C50</f>
        <v>17.119999999999997</v>
      </c>
      <c r="L50" s="109">
        <v>10</v>
      </c>
    </row>
    <row r="51" spans="1:4" ht="18">
      <c r="A51" s="171" t="s">
        <v>360</v>
      </c>
      <c r="B51" s="174" t="s">
        <v>361</v>
      </c>
      <c r="C51" s="170">
        <v>6.32</v>
      </c>
      <c r="D51" s="170"/>
    </row>
    <row r="52" spans="1:4" ht="18">
      <c r="A52" s="171" t="s">
        <v>362</v>
      </c>
      <c r="B52" s="174" t="s">
        <v>363</v>
      </c>
      <c r="C52" s="170">
        <v>1.5</v>
      </c>
      <c r="D52" s="170"/>
    </row>
    <row r="53" spans="1:4" ht="18">
      <c r="A53" s="171" t="s">
        <v>364</v>
      </c>
      <c r="B53" s="174" t="s">
        <v>365</v>
      </c>
      <c r="C53" s="170">
        <v>1.01</v>
      </c>
      <c r="D53" s="170"/>
    </row>
    <row r="54" spans="1:4" ht="18">
      <c r="A54" s="171" t="s">
        <v>368</v>
      </c>
      <c r="B54" s="174" t="s">
        <v>369</v>
      </c>
      <c r="C54" s="170">
        <v>0.56</v>
      </c>
      <c r="D54" s="170"/>
    </row>
    <row r="55" spans="1:4" ht="18">
      <c r="A55" s="171" t="s">
        <v>370</v>
      </c>
      <c r="B55" s="174" t="s">
        <v>371</v>
      </c>
      <c r="C55" s="170">
        <v>0.51</v>
      </c>
      <c r="D55" s="170"/>
    </row>
    <row r="56" spans="1:12" ht="18">
      <c r="A56" s="173" t="s">
        <v>83</v>
      </c>
      <c r="B56" s="173" t="s">
        <v>66</v>
      </c>
      <c r="C56" s="172">
        <f>SUM(C51:C55)</f>
        <v>9.9</v>
      </c>
      <c r="D56" s="172">
        <f>30-C56</f>
        <v>20.1</v>
      </c>
      <c r="L56" s="109">
        <v>5</v>
      </c>
    </row>
    <row r="57" spans="1:4" ht="18">
      <c r="A57" s="171" t="s">
        <v>370</v>
      </c>
      <c r="B57" s="174" t="s">
        <v>374</v>
      </c>
      <c r="C57" s="170">
        <v>0.79</v>
      </c>
      <c r="D57" s="170"/>
    </row>
    <row r="58" spans="1:4" ht="18">
      <c r="A58" s="141" t="s">
        <v>375</v>
      </c>
      <c r="B58" s="271" t="s">
        <v>376</v>
      </c>
      <c r="C58" s="177">
        <v>0.85</v>
      </c>
      <c r="D58" s="177"/>
    </row>
    <row r="59" spans="1:4" ht="18">
      <c r="A59" s="171" t="s">
        <v>377</v>
      </c>
      <c r="B59" s="174" t="s">
        <v>378</v>
      </c>
      <c r="C59" s="170">
        <v>1.26</v>
      </c>
      <c r="D59" s="170"/>
    </row>
    <row r="60" spans="1:4" ht="18">
      <c r="A60" s="171" t="s">
        <v>379</v>
      </c>
      <c r="B60" s="174" t="s">
        <v>380</v>
      </c>
      <c r="C60" s="170">
        <v>0.26</v>
      </c>
      <c r="D60" s="170"/>
    </row>
    <row r="61" spans="1:4" ht="18">
      <c r="A61" s="285" t="s">
        <v>381</v>
      </c>
      <c r="B61" s="286" t="s">
        <v>382</v>
      </c>
      <c r="C61" s="287">
        <v>6.5</v>
      </c>
      <c r="D61" s="274"/>
    </row>
    <row r="62" spans="1:4" ht="18">
      <c r="A62" s="285" t="s">
        <v>383</v>
      </c>
      <c r="B62" s="286" t="s">
        <v>384</v>
      </c>
      <c r="C62" s="287">
        <v>0.89</v>
      </c>
      <c r="D62" s="274"/>
    </row>
    <row r="63" spans="1:4" ht="18">
      <c r="A63" s="285" t="s">
        <v>385</v>
      </c>
      <c r="B63" s="286" t="s">
        <v>386</v>
      </c>
      <c r="C63" s="287">
        <v>2.51</v>
      </c>
      <c r="D63" s="274"/>
    </row>
    <row r="64" spans="1:4" ht="18">
      <c r="A64" s="171" t="s">
        <v>387</v>
      </c>
      <c r="B64" s="174" t="s">
        <v>389</v>
      </c>
      <c r="C64" s="170">
        <v>0.37</v>
      </c>
      <c r="D64" s="170"/>
    </row>
    <row r="65" spans="1:4" ht="18">
      <c r="A65" s="171" t="s">
        <v>388</v>
      </c>
      <c r="B65" s="174" t="s">
        <v>390</v>
      </c>
      <c r="C65" s="170">
        <v>1.65</v>
      </c>
      <c r="D65" s="170"/>
    </row>
    <row r="66" spans="1:12" ht="18">
      <c r="A66" s="173" t="s">
        <v>83</v>
      </c>
      <c r="B66" s="173" t="s">
        <v>39</v>
      </c>
      <c r="C66" s="172">
        <f>SUM(C57:C65)</f>
        <v>15.08</v>
      </c>
      <c r="D66" s="172">
        <f>31-15.08</f>
        <v>15.92</v>
      </c>
      <c r="L66" s="109">
        <v>8</v>
      </c>
    </row>
    <row r="67" spans="1:4" ht="18">
      <c r="A67" s="171" t="s">
        <v>406</v>
      </c>
      <c r="B67" s="174" t="s">
        <v>407</v>
      </c>
      <c r="C67" s="170">
        <v>3.31</v>
      </c>
      <c r="D67" s="170"/>
    </row>
    <row r="68" spans="1:4" ht="18">
      <c r="A68" s="171" t="s">
        <v>408</v>
      </c>
      <c r="B68" s="174" t="s">
        <v>409</v>
      </c>
      <c r="C68" s="170">
        <v>0.46</v>
      </c>
      <c r="D68" s="170"/>
    </row>
    <row r="69" spans="1:4" ht="18">
      <c r="A69" s="171" t="s">
        <v>412</v>
      </c>
      <c r="B69" s="174" t="s">
        <v>413</v>
      </c>
      <c r="C69" s="170">
        <v>4.59</v>
      </c>
      <c r="D69" s="170"/>
    </row>
    <row r="70" spans="1:4" ht="18">
      <c r="A70" s="171" t="s">
        <v>414</v>
      </c>
      <c r="B70" s="174" t="s">
        <v>415</v>
      </c>
      <c r="C70" s="170">
        <v>2.08</v>
      </c>
      <c r="D70" s="170"/>
    </row>
    <row r="71" spans="1:4" ht="18">
      <c r="A71" s="171" t="s">
        <v>416</v>
      </c>
      <c r="B71" s="174" t="s">
        <v>417</v>
      </c>
      <c r="C71" s="170">
        <v>0.48</v>
      </c>
      <c r="D71" s="170"/>
    </row>
    <row r="72" spans="1:4" ht="18">
      <c r="A72" s="171" t="s">
        <v>418</v>
      </c>
      <c r="B72" s="174" t="s">
        <v>419</v>
      </c>
      <c r="C72" s="170">
        <v>4.16</v>
      </c>
      <c r="D72" s="170"/>
    </row>
    <row r="73" spans="1:4" ht="18">
      <c r="A73" s="171" t="s">
        <v>426</v>
      </c>
      <c r="B73" s="174" t="s">
        <v>427</v>
      </c>
      <c r="C73" s="170">
        <v>3.38</v>
      </c>
      <c r="D73" s="170"/>
    </row>
    <row r="74" spans="1:4" ht="18">
      <c r="A74" s="171" t="s">
        <v>428</v>
      </c>
      <c r="B74" s="174" t="s">
        <v>429</v>
      </c>
      <c r="C74" s="170">
        <v>2.68</v>
      </c>
      <c r="D74" s="170"/>
    </row>
    <row r="75" spans="1:4" ht="18">
      <c r="A75" s="171" t="s">
        <v>432</v>
      </c>
      <c r="B75" s="174" t="s">
        <v>433</v>
      </c>
      <c r="C75" s="170">
        <v>0.18</v>
      </c>
      <c r="D75" s="170"/>
    </row>
    <row r="76" spans="1:4" ht="18">
      <c r="A76" s="171" t="s">
        <v>434</v>
      </c>
      <c r="B76" s="174" t="s">
        <v>435</v>
      </c>
      <c r="C76" s="170">
        <v>0.39</v>
      </c>
      <c r="D76" s="170"/>
    </row>
    <row r="77" spans="1:12" ht="18">
      <c r="A77" s="173" t="s">
        <v>83</v>
      </c>
      <c r="B77" s="173" t="s">
        <v>40</v>
      </c>
      <c r="C77" s="172">
        <f>SUM(C67:C76)</f>
        <v>21.71</v>
      </c>
      <c r="D77" s="172">
        <f>31-C77</f>
        <v>9.29</v>
      </c>
      <c r="L77" s="109">
        <v>10</v>
      </c>
    </row>
    <row r="78" spans="1:4" ht="18">
      <c r="A78" s="171" t="s">
        <v>434</v>
      </c>
      <c r="B78" s="174" t="s">
        <v>437</v>
      </c>
      <c r="C78" s="170">
        <v>1.9</v>
      </c>
      <c r="D78" s="170"/>
    </row>
    <row r="79" spans="1:4" ht="18">
      <c r="A79" s="171" t="s">
        <v>438</v>
      </c>
      <c r="B79" s="174" t="s">
        <v>439</v>
      </c>
      <c r="C79" s="170">
        <v>1.23</v>
      </c>
      <c r="D79" s="170"/>
    </row>
    <row r="80" spans="1:4" ht="18">
      <c r="A80" s="171" t="s">
        <v>440</v>
      </c>
      <c r="B80" s="174" t="s">
        <v>441</v>
      </c>
      <c r="C80" s="170">
        <v>0.21</v>
      </c>
      <c r="D80" s="170"/>
    </row>
    <row r="81" spans="1:14" ht="18">
      <c r="A81" s="171" t="s">
        <v>442</v>
      </c>
      <c r="B81" s="174" t="s">
        <v>443</v>
      </c>
      <c r="C81" s="170">
        <v>0.64</v>
      </c>
      <c r="D81" s="170"/>
      <c r="N81" s="355" t="s">
        <v>12</v>
      </c>
    </row>
    <row r="82" spans="1:16" ht="18">
      <c r="A82" s="171" t="s">
        <v>444</v>
      </c>
      <c r="B82" s="174" t="s">
        <v>445</v>
      </c>
      <c r="C82" s="170">
        <v>7.88</v>
      </c>
      <c r="D82" s="170"/>
      <c r="N82" s="355" t="s">
        <v>12</v>
      </c>
      <c r="O82" s="355" t="s">
        <v>12</v>
      </c>
      <c r="P82" s="355" t="s">
        <v>12</v>
      </c>
    </row>
    <row r="83" spans="1:16" ht="18">
      <c r="A83" s="171" t="s">
        <v>446</v>
      </c>
      <c r="B83" s="174" t="s">
        <v>447</v>
      </c>
      <c r="C83" s="170">
        <v>3.13</v>
      </c>
      <c r="D83" s="170"/>
      <c r="M83" s="355" t="s">
        <v>12</v>
      </c>
      <c r="N83" s="355"/>
      <c r="O83" s="355"/>
      <c r="P83" s="355"/>
    </row>
    <row r="84" spans="1:16" ht="18">
      <c r="A84" s="171" t="s">
        <v>448</v>
      </c>
      <c r="B84" s="174" t="s">
        <v>449</v>
      </c>
      <c r="C84" s="170">
        <v>0.64</v>
      </c>
      <c r="D84" s="170"/>
      <c r="M84" s="355" t="s">
        <v>12</v>
      </c>
      <c r="N84" s="355"/>
      <c r="O84" s="355"/>
      <c r="P84" s="355"/>
    </row>
    <row r="85" spans="1:16" ht="18">
      <c r="A85" s="171" t="s">
        <v>450</v>
      </c>
      <c r="B85" s="174" t="s">
        <v>451</v>
      </c>
      <c r="C85" s="170">
        <v>3.36</v>
      </c>
      <c r="D85" s="170"/>
      <c r="M85" s="355" t="s">
        <v>12</v>
      </c>
      <c r="N85" s="355"/>
      <c r="O85" s="355"/>
      <c r="P85" s="355"/>
    </row>
    <row r="86" spans="1:14" ht="18">
      <c r="A86" s="171" t="s">
        <v>452</v>
      </c>
      <c r="B86" s="174" t="s">
        <v>453</v>
      </c>
      <c r="C86" s="170">
        <v>0.38</v>
      </c>
      <c r="D86" s="170"/>
      <c r="M86" s="355" t="s">
        <v>12</v>
      </c>
      <c r="N86" s="355" t="s">
        <v>12</v>
      </c>
    </row>
    <row r="87" spans="1:16" ht="18">
      <c r="A87" s="173" t="s">
        <v>83</v>
      </c>
      <c r="B87" s="173" t="s">
        <v>41</v>
      </c>
      <c r="C87" s="172">
        <f>SUM(C78:C86)</f>
        <v>19.369999999999997</v>
      </c>
      <c r="D87" s="172">
        <v>10.63</v>
      </c>
      <c r="L87" s="109">
        <v>8</v>
      </c>
      <c r="M87" s="355" t="s">
        <v>12</v>
      </c>
      <c r="P87" s="355" t="s">
        <v>12</v>
      </c>
    </row>
    <row r="88" spans="1:14" ht="18">
      <c r="A88" s="171" t="s">
        <v>456</v>
      </c>
      <c r="B88" s="174" t="s">
        <v>457</v>
      </c>
      <c r="C88" s="170">
        <v>0.4</v>
      </c>
      <c r="D88" s="170"/>
      <c r="N88" s="355"/>
    </row>
    <row r="89" spans="1:4" ht="18">
      <c r="A89" s="171" t="s">
        <v>458</v>
      </c>
      <c r="B89" s="174" t="s">
        <v>459</v>
      </c>
      <c r="C89" s="170">
        <v>0.56</v>
      </c>
      <c r="D89" s="170"/>
    </row>
    <row r="90" spans="1:4" ht="18">
      <c r="A90" s="171" t="s">
        <v>460</v>
      </c>
      <c r="B90" s="174" t="s">
        <v>461</v>
      </c>
      <c r="C90" s="170">
        <v>2.15</v>
      </c>
      <c r="D90" s="170"/>
    </row>
    <row r="91" spans="1:4" ht="18">
      <c r="A91" s="171" t="s">
        <v>462</v>
      </c>
      <c r="B91" s="174" t="s">
        <v>463</v>
      </c>
      <c r="C91" s="170">
        <v>8.27</v>
      </c>
      <c r="D91" s="170"/>
    </row>
    <row r="92" spans="1:4" ht="18">
      <c r="A92" s="171" t="s">
        <v>464</v>
      </c>
      <c r="B92" s="174" t="s">
        <v>465</v>
      </c>
      <c r="C92" s="170">
        <v>0.48</v>
      </c>
      <c r="D92" s="170"/>
    </row>
    <row r="93" spans="1:4" ht="18">
      <c r="A93" s="171" t="s">
        <v>466</v>
      </c>
      <c r="B93" s="174" t="s">
        <v>467</v>
      </c>
      <c r="C93" s="170">
        <v>0.35</v>
      </c>
      <c r="D93" s="170"/>
    </row>
    <row r="94" spans="1:4" ht="18">
      <c r="A94" s="171" t="s">
        <v>468</v>
      </c>
      <c r="B94" s="174" t="s">
        <v>469</v>
      </c>
      <c r="C94" s="170">
        <v>3.17</v>
      </c>
      <c r="D94" s="170"/>
    </row>
    <row r="95" spans="1:4" ht="18">
      <c r="A95" s="171" t="s">
        <v>470</v>
      </c>
      <c r="B95" s="174" t="s">
        <v>471</v>
      </c>
      <c r="C95" s="170">
        <v>2.22</v>
      </c>
      <c r="D95" s="170"/>
    </row>
    <row r="96" spans="1:4" ht="18">
      <c r="A96" s="171" t="s">
        <v>472</v>
      </c>
      <c r="B96" s="174" t="s">
        <v>473</v>
      </c>
      <c r="C96" s="170">
        <v>0.38</v>
      </c>
      <c r="D96" s="170"/>
    </row>
    <row r="97" spans="1:4" ht="18">
      <c r="A97" s="171" t="s">
        <v>474</v>
      </c>
      <c r="B97" s="174" t="s">
        <v>475</v>
      </c>
      <c r="C97" s="170">
        <v>1.33</v>
      </c>
      <c r="D97" s="170"/>
    </row>
    <row r="98" spans="1:12" ht="18">
      <c r="A98" s="173" t="s">
        <v>83</v>
      </c>
      <c r="B98" s="173" t="s">
        <v>42</v>
      </c>
      <c r="C98" s="172">
        <f>SUM(C88:C97)</f>
        <v>19.309999999999995</v>
      </c>
      <c r="D98" s="172">
        <v>11.69</v>
      </c>
      <c r="L98" s="109">
        <v>10</v>
      </c>
    </row>
    <row r="99" spans="1:4" ht="18">
      <c r="A99" s="171" t="s">
        <v>484</v>
      </c>
      <c r="B99" s="174" t="s">
        <v>485</v>
      </c>
      <c r="C99" s="170">
        <v>2.73</v>
      </c>
      <c r="D99" s="170"/>
    </row>
    <row r="100" spans="1:4" ht="18">
      <c r="A100" s="171" t="s">
        <v>486</v>
      </c>
      <c r="B100" s="174" t="s">
        <v>487</v>
      </c>
      <c r="C100" s="170">
        <v>0.34</v>
      </c>
      <c r="D100" s="170"/>
    </row>
    <row r="101" spans="1:4" ht="18">
      <c r="A101" s="171" t="s">
        <v>488</v>
      </c>
      <c r="B101" s="174" t="s">
        <v>489</v>
      </c>
      <c r="C101" s="170">
        <v>0.48</v>
      </c>
      <c r="D101" s="170"/>
    </row>
    <row r="102" spans="1:4" ht="18">
      <c r="A102" s="171" t="s">
        <v>490</v>
      </c>
      <c r="B102" s="174" t="s">
        <v>491</v>
      </c>
      <c r="C102" s="170">
        <v>7.55</v>
      </c>
      <c r="D102" s="170"/>
    </row>
    <row r="103" spans="1:12" ht="18">
      <c r="A103" s="173" t="s">
        <v>83</v>
      </c>
      <c r="B103" s="173" t="s">
        <v>43</v>
      </c>
      <c r="C103" s="172">
        <f>SUM(C99:C102)</f>
        <v>11.1</v>
      </c>
      <c r="D103" s="172">
        <f>30-C103</f>
        <v>18.9</v>
      </c>
      <c r="L103" s="109">
        <v>4</v>
      </c>
    </row>
    <row r="104" spans="1:4" ht="18">
      <c r="A104" s="171" t="s">
        <v>504</v>
      </c>
      <c r="B104" s="174" t="s">
        <v>505</v>
      </c>
      <c r="C104" s="170">
        <v>0.51</v>
      </c>
      <c r="D104" s="170"/>
    </row>
    <row r="105" spans="1:4" ht="18">
      <c r="A105" s="171" t="s">
        <v>506</v>
      </c>
      <c r="B105" s="174" t="s">
        <v>507</v>
      </c>
      <c r="C105" s="170">
        <v>2.43</v>
      </c>
      <c r="D105" s="170"/>
    </row>
    <row r="106" spans="1:4" ht="18">
      <c r="A106" s="171" t="s">
        <v>508</v>
      </c>
      <c r="B106" s="174" t="s">
        <v>509</v>
      </c>
      <c r="C106" s="170">
        <v>0.37</v>
      </c>
      <c r="D106" s="170"/>
    </row>
    <row r="107" spans="1:4" ht="18">
      <c r="A107" s="171" t="s">
        <v>516</v>
      </c>
      <c r="B107" s="174" t="s">
        <v>510</v>
      </c>
      <c r="C107" s="170">
        <v>5.64</v>
      </c>
      <c r="D107" s="170"/>
    </row>
    <row r="108" spans="1:4" ht="18">
      <c r="A108" s="171" t="s">
        <v>511</v>
      </c>
      <c r="B108" s="174" t="s">
        <v>517</v>
      </c>
      <c r="C108" s="170">
        <v>0.26</v>
      </c>
      <c r="D108" s="170"/>
    </row>
    <row r="109" spans="1:4" ht="18">
      <c r="A109" s="171" t="s">
        <v>518</v>
      </c>
      <c r="B109" s="174" t="s">
        <v>512</v>
      </c>
      <c r="C109" s="170">
        <v>2.64</v>
      </c>
      <c r="D109" s="170"/>
    </row>
    <row r="110" spans="1:4" ht="18">
      <c r="A110" s="171" t="s">
        <v>513</v>
      </c>
      <c r="B110" s="174" t="s">
        <v>519</v>
      </c>
      <c r="C110" s="170">
        <v>0.88</v>
      </c>
      <c r="D110" s="170"/>
    </row>
    <row r="111" spans="1:4" ht="18">
      <c r="A111" s="171" t="s">
        <v>520</v>
      </c>
      <c r="B111" s="174" t="s">
        <v>514</v>
      </c>
      <c r="C111" s="170">
        <v>0.39</v>
      </c>
      <c r="D111" s="170"/>
    </row>
    <row r="112" spans="1:4" ht="18">
      <c r="A112" s="171" t="s">
        <v>521</v>
      </c>
      <c r="B112" s="174" t="s">
        <v>515</v>
      </c>
      <c r="C112" s="170">
        <v>1.14</v>
      </c>
      <c r="D112" s="170"/>
    </row>
    <row r="113" spans="1:12" ht="18">
      <c r="A113" s="173" t="s">
        <v>83</v>
      </c>
      <c r="B113" s="173" t="s">
        <v>44</v>
      </c>
      <c r="C113" s="172">
        <f>SUM(C104:C112)</f>
        <v>14.260000000000002</v>
      </c>
      <c r="D113" s="172">
        <f>31-C113</f>
        <v>16.74</v>
      </c>
      <c r="L113" s="366">
        <v>9</v>
      </c>
    </row>
    <row r="114" spans="1:13" ht="18">
      <c r="A114" s="435" t="s">
        <v>108</v>
      </c>
      <c r="B114" s="435"/>
      <c r="C114" s="348">
        <f>SUM(C13,C21,C31,C39,C50,C56,C66,C77,C87,C98,C103,C113)</f>
        <v>193.536</v>
      </c>
      <c r="D114" s="348">
        <f>SUM(D13,D21,D31,D39,D50,D56,D66,D77,D87,D98,D103,D113)</f>
        <v>171.464</v>
      </c>
      <c r="E114" s="109"/>
      <c r="F114" s="109"/>
      <c r="G114" s="109"/>
      <c r="H114" s="109"/>
      <c r="I114" s="109"/>
      <c r="J114" s="109"/>
      <c r="K114" s="109"/>
      <c r="L114" s="349">
        <f>SUM(L13,L21,L31,L39,L50,L56,L66,L77,L87,L98,L103,L113)</f>
        <v>93</v>
      </c>
      <c r="M114" s="167">
        <f>C114/365</f>
        <v>0.5302356164383561</v>
      </c>
    </row>
    <row r="115" spans="1:11" ht="18">
      <c r="A115" s="109" t="s">
        <v>477</v>
      </c>
      <c r="B115" s="121"/>
      <c r="C115" s="358"/>
      <c r="D115" s="358"/>
      <c r="E115" s="109"/>
      <c r="F115" s="109"/>
      <c r="G115" s="109"/>
      <c r="H115" s="109"/>
      <c r="I115" s="109"/>
      <c r="J115" s="109"/>
      <c r="K115" s="109"/>
    </row>
    <row r="116" spans="1:11" ht="18">
      <c r="A116" s="109" t="s">
        <v>478</v>
      </c>
      <c r="B116" s="121"/>
      <c r="C116" s="358"/>
      <c r="D116" s="358"/>
      <c r="E116" s="109"/>
      <c r="F116" s="109"/>
      <c r="G116" s="109"/>
      <c r="H116" s="109"/>
      <c r="I116" s="109"/>
      <c r="J116" s="109"/>
      <c r="K116" s="109"/>
    </row>
  </sheetData>
  <sheetProtection/>
  <mergeCells count="2">
    <mergeCell ref="A2:D2"/>
    <mergeCell ref="A114:B114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MOVIMENTAÇÃO CARGAS-1 SEMESTR</dc:title>
  <dc:subject/>
  <dc:creator>DERSA</dc:creator>
  <cp:keywords/>
  <dc:description/>
  <cp:lastModifiedBy>carlos.carmona</cp:lastModifiedBy>
  <cp:lastPrinted>2016-01-06T17:40:48Z</cp:lastPrinted>
  <dcterms:created xsi:type="dcterms:W3CDTF">1999-02-08T11:09:12Z</dcterms:created>
  <dcterms:modified xsi:type="dcterms:W3CDTF">2018-08-06T18:39:01Z</dcterms:modified>
  <cp:category/>
  <cp:version/>
  <cp:contentType/>
  <cp:contentStatus/>
</cp:coreProperties>
</file>