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1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/>
  <calcPr fullCalcOnLoad="1"/>
</workbook>
</file>

<file path=xl/sharedStrings.xml><?xml version="1.0" encoding="utf-8"?>
<sst xmlns="http://schemas.openxmlformats.org/spreadsheetml/2006/main" count="1029" uniqueCount="211">
  <si>
    <t>TABELA I</t>
  </si>
  <si>
    <t>TABELA II</t>
  </si>
  <si>
    <t>TABELA III</t>
  </si>
  <si>
    <t>TABELA IV</t>
  </si>
  <si>
    <t>TABELA V -   Água</t>
  </si>
  <si>
    <t>TABELA V - Energia elétrica</t>
  </si>
  <si>
    <t>TABELA V - Balança</t>
  </si>
  <si>
    <t>TABELA V - telefone</t>
  </si>
  <si>
    <t>TOTAL DE RECEITAS (A)</t>
  </si>
  <si>
    <t>OPERAÇÕES DE APOIO</t>
  </si>
  <si>
    <t>TOTAL DE RECEITAS (B)</t>
  </si>
  <si>
    <t xml:space="preserve">OPERAÇÕES DE APOIO PROJETO </t>
  </si>
  <si>
    <t>Receitas Financeiras ( multas,juros,correção monetária)</t>
  </si>
  <si>
    <t>B - OPERAÇÕES PORTUÁRIAS GERAIS</t>
  </si>
  <si>
    <t>TOTAL R$</t>
  </si>
  <si>
    <t>Faturas:</t>
  </si>
  <si>
    <t>Canceladas:</t>
  </si>
  <si>
    <t>AVD:</t>
  </si>
  <si>
    <t>Receitas Administrativas (taxas p/documentos/processos/Lixo/Ambiental).</t>
  </si>
  <si>
    <t>EQUIPAMENTOS DE TERCEIROS (próprios dos clientes)</t>
  </si>
  <si>
    <t>EQUIPAMENTOS EXTERRAN ÓLEO E GAZ</t>
  </si>
  <si>
    <t>A - PROJETO SAPINHOA</t>
  </si>
  <si>
    <t>Receitas com Permissão de Uso de Área.</t>
  </si>
  <si>
    <t>NAVIO HOYANGER (FICHA 077) - Chapas de Aço.</t>
  </si>
  <si>
    <t>NAVIO LUGANO (FICHA 078) - Bobinas de Fio de Aço.</t>
  </si>
  <si>
    <t>CARGA DE PROJETO SAIPEM.</t>
  </si>
  <si>
    <t>UTIL.CANAL ACESSO - NAVIOS-TANQUE/REBOCADORES .</t>
  </si>
  <si>
    <t>EQUIPAMENTOS CAMARGO CORRÊA</t>
  </si>
  <si>
    <t>NAVIO IMOLA EXPRESS (FICHA 094) - Veículos.</t>
  </si>
  <si>
    <t>NAVIO NORDANA ANDREA (FICHA 101) - Carga de Projeto.</t>
  </si>
  <si>
    <t>NAVIO PETERSFIELD (FICHA 100) - Tubos de Aço.</t>
  </si>
  <si>
    <t>NAVIO BBC CALIFORNIA (FICHA 096) - Ulexita a granel. 2ª ATRACAÇÃO.</t>
  </si>
  <si>
    <t>NAVIO AZORESBORG (FICHA 095) - Guindaste Desmontado.</t>
  </si>
  <si>
    <t>NAVIO BBC CALIFORNIA (FICHA 092) - Ulexita a granel. 1ª ATRACAÇÃO.</t>
  </si>
  <si>
    <t>NAVIO OSAKANA (FICHA 085) - Chapas de Aço.</t>
  </si>
  <si>
    <t>NAVIO BBC ASIA (FICHA 086) - Óxido de Alumínio a granel.</t>
  </si>
  <si>
    <t>NAVIO GUANABARA BAY (FICHA 090) - Chapas de Aço - Cabotagem.</t>
  </si>
  <si>
    <t>NAVIO ARLOTT (FICHA 104) - Chapas de Aço.</t>
  </si>
  <si>
    <t>NAVIO NORTHERN HIGHWAY (FICHA 102) - Veículos. 1ª VIAGEM</t>
  </si>
  <si>
    <t>NAVIO UAL AFRICA (FICHA 108) - Máquinas e Equipamentos.</t>
  </si>
  <si>
    <t>NAVIO NORTHERN HIGHWAY (FICHA 111 ) - Veículos. 2ª VIAGEM</t>
  </si>
  <si>
    <t>NAVIO MONZA EXPRESS (FICHA 112) - Veículos.</t>
  </si>
  <si>
    <t>NAVIO OPTIMANA (FICHA 115) - Chapas de Aço.</t>
  </si>
  <si>
    <t>NAVIO TINAMOU ARROW (FICHA 117) - Tubos de Aço.</t>
  </si>
  <si>
    <t>RECEITAS DO PORTO DE SÃO SEBASTIÃO - JANEIRO 2013</t>
  </si>
  <si>
    <t>TOTAL GERAL (A+B) JANEIRO/2013</t>
  </si>
  <si>
    <t>TUBOS DE AÇO - SINCROLOG.</t>
  </si>
  <si>
    <t>UTIL.CANAL ACESSO - NAVIOS TURISMO (27).</t>
  </si>
  <si>
    <t>8475, 8487, 8524, 8549 e 8578</t>
  </si>
  <si>
    <t>NAVIO CYTI OF ANTUERP (FICHA 002/13) - Veículos.</t>
  </si>
  <si>
    <t>NAVIO CIDO PACIFIC (FICHA 001/13) - Cevada a granel.</t>
  </si>
  <si>
    <t>NAVIO JAGUAR (FICHA 003/13) - Tubos de Aço.</t>
  </si>
  <si>
    <t>NAVIO ABOU KARIM (FICHA 004/13) - Animais Vivos e Ração.</t>
  </si>
  <si>
    <t>NAVIO HARDANGER (FICHA 006/13) - Chapas de Aço.</t>
  </si>
  <si>
    <t>NAVIO STORTEBEKER (FICHA 007/13) - Tubos de Aço.</t>
  </si>
  <si>
    <t>NAVIO COSMOS ACE (FICHA 008/13) - Veículos.</t>
  </si>
  <si>
    <t>NAVIO PIPIT ARROW  (FICHA 009/13) - Tubos de Aço.</t>
  </si>
  <si>
    <t>NAVIO JAGUAR (FICHA 010/13) - Tubos de Aço.</t>
  </si>
  <si>
    <t>NAVIO THOR BRONCO (FICHA 005/13) - Container 40 " cheio e Equipamentos.</t>
  </si>
  <si>
    <t>RECEITAS DO PORTO DE SÃO SEBASTIÃO - FEVEREIRO 2013</t>
  </si>
  <si>
    <t>TOTAL GERAL (A+B) FEVEREIRO/2013</t>
  </si>
  <si>
    <t>8585, 8589, 8600, 8634, 8644, 8645, 8673, 8694, 8695, 8696</t>
  </si>
  <si>
    <t>UTIL.CANAL ACESSO - NAVIOS TURISMO (25).</t>
  </si>
  <si>
    <t>NAVIO FRIDA SCAN (FICHA 011/13) - Trilhos de Aço.</t>
  </si>
  <si>
    <t>NAVIO BBC DELAWARE (FICHA 012/13) - Máquinas, Equipamentos, Containeres.</t>
  </si>
  <si>
    <t>NAVIO EAGLE ARROW (FICHA 013/13) - Barrilha a granel.</t>
  </si>
  <si>
    <t>NAVIO STORTEBEKER (FICHA 014/13) - Tubos de Aço.</t>
  </si>
  <si>
    <t>NAVIO BBC OLYMPUS (FICHA 015/13) - Máquinas, Equipamentos, Containeres.</t>
  </si>
  <si>
    <t>NAVIO PRIMOROSE ACE (FICHA 016/13) - Veículos.</t>
  </si>
  <si>
    <t>NAVIO AFRICAN JAGUAR (FICHA 017/13) - Sulfato de Sódio.</t>
  </si>
  <si>
    <t>NAVIO HERCULES HIGHWAY (FICHA 018/13) - Veículos.</t>
  </si>
  <si>
    <t>NAVIO JAGUAR (FICHA 019/13) - Tubos de Aço.</t>
  </si>
  <si>
    <t>NAVIO STORTEBEKER (FICHA 020/13) - Tubos de Aço.</t>
  </si>
  <si>
    <t>NAVIO POPLAR ARROW (FICHA 021/13) - Tubos de Aço.</t>
  </si>
  <si>
    <t>NAVIO THOR GLORY (FICHA 022/13) - Malte a granel.</t>
  </si>
  <si>
    <t>RECEITAS DO PORTO DE SÃO SEBASTIÃO - MARÇO 2013</t>
  </si>
  <si>
    <t>TOTAL GERAL (A+B) MARÇO/2013</t>
  </si>
  <si>
    <t>UTIL.CANAL ACESSO - NAVIOS TURISMO (16).</t>
  </si>
  <si>
    <t>8770, 8789, 8806, 8845, 8861 e 8866</t>
  </si>
  <si>
    <t>NAVIO ORIENT TOKYO (FICHA 023/13) - Ulexita a granel.</t>
  </si>
  <si>
    <t>NAVIO STORTEBEKER (FICHA 024/13) - Tubos de Aço.</t>
  </si>
  <si>
    <t>NAVIO WREN ARROW (FICHA 025/13) - Barrilha a granel.</t>
  </si>
  <si>
    <t>NAVIO COSMOS ACE (FICHA 026/13) - Veículos.</t>
  </si>
  <si>
    <t>NAVIO SPRUCE ARROW (FICHA 027/13) - Barrilha a granel.</t>
  </si>
  <si>
    <t>NAVIO SWAN ARROW (FICHA 028) - Barrilha a granel.</t>
  </si>
  <si>
    <t>RECEITAS DO PORTO DE SÃO SEBASTIÃO - ABRIL 2013</t>
  </si>
  <si>
    <t>TOTAL GERAL (A+B) ABRIL/2013</t>
  </si>
  <si>
    <t>NAVIO CHOLLADA NAREE (FICHA) - Cevada a granel.</t>
  </si>
  <si>
    <t>NAVIO CETUS STAR (FICHA) - Malte a granel.</t>
  </si>
  <si>
    <t>UTIL.CANAL ACESSO - NAVIOS TURISMO . (06)</t>
  </si>
  <si>
    <t>Ressarcimento danos ao patrimônio.</t>
  </si>
  <si>
    <t>VEÍCULOS AGUARDANDO EXPORTAÇÃO</t>
  </si>
  <si>
    <t>1432, 1433</t>
  </si>
  <si>
    <t>8915, 8985, 8987, 9027, 9028, 9040, 9042, 9049, 9051, 9052, 9106</t>
  </si>
  <si>
    <t>NAVIO CANELO ARROW (FICHA 031) - Barrilha a granel.</t>
  </si>
  <si>
    <t>NAVIO BBC CALIFORNIA (FICHA 033) - Máquinas e Equipamentos.</t>
  </si>
  <si>
    <t>NAVIO HERCULES HIGHWAY (FICHA 032 ) - Veículos. - 2ª VIAGEM.</t>
  </si>
  <si>
    <t>NAVIO BIANCO VICTÓRIA (FICHA 034) - Malte a granel.</t>
  </si>
  <si>
    <t>NAVIO VERA (FICHA 035) - Máquinas e Equipamentos.</t>
  </si>
  <si>
    <t>NAVIO INDUSTRIAL FIGHTER (FICHA 036) - Máquinas e Equipamentos.</t>
  </si>
  <si>
    <t>BALSA LOCAR IX (FICHA 037) - Tubos de Aço.</t>
  </si>
  <si>
    <t>OPERAÇÕES BOIÃO (SUBSEA  7)</t>
  </si>
  <si>
    <t>A - PROJETOS PETROBRÁS</t>
  </si>
  <si>
    <t>RECEITAS DO PORTO DE SÃO SEBASTIÃO - MAIO 2013</t>
  </si>
  <si>
    <t xml:space="preserve">UTIL.CANAL ACESSO - NAVIOS TURISMO . </t>
  </si>
  <si>
    <t>EQUIPAMENTOS DE TERCEIROS (próprios dos clientes).</t>
  </si>
  <si>
    <t>Receitas Financeiras ( multas,juros,correção monetária).</t>
  </si>
  <si>
    <t>TOTAL GERAL (A+B) MAIO/2013</t>
  </si>
  <si>
    <t>PROJETO SAPINHOA NORTH  - CPC</t>
  </si>
  <si>
    <t>NAVIO APOLLOGRACHT (FICHA 040) - Containeres, Máquinas e Equipamentos.</t>
  </si>
  <si>
    <t>NAVIO PELICAN ARROW (FICHA 041) - Sulfato de Sódio a granel.</t>
  </si>
  <si>
    <t>BALSA LOCAR IX (FICHA 042) - Tubos de Aço.</t>
  </si>
  <si>
    <t>BALSA LOCAR IX (FICHA 043) - Tubos de Aço.</t>
  </si>
  <si>
    <t>NAVIO HR FREQUENCY (FICHA 044) - Containeres, Máquinas e Equipamentos.</t>
  </si>
  <si>
    <t>BALSA LOCAR IX (FICHA 045) - Tubos de Aço.</t>
  </si>
  <si>
    <t>NAVIO PEGASUS HIGHWAY (FICHA 046) - Veículos.</t>
  </si>
  <si>
    <t>NAVIO BARBET ARROW (FICHA 047) - Barrilha a granel.</t>
  </si>
  <si>
    <t>BALSA LOCAR IX (FICHA 048) - Tubos de Aço.</t>
  </si>
  <si>
    <t>BALSA LOCAR IX (FICHA 049) - Tubos de Aço.</t>
  </si>
  <si>
    <t>NAVIO DIAMANTGRACHT (FICHA 050) - Containeres, Máquinas e Equipamentos.</t>
  </si>
  <si>
    <t>BALSA LOCAR IX (FICHA 051) - Tubos de Aço.</t>
  </si>
  <si>
    <t>BALSA LOCAR IX (FICHA 052) - Tubos de Aço.</t>
  </si>
  <si>
    <t>BALSA LOCAR IX (FICHA 053) - Tubos de Aço.</t>
  </si>
  <si>
    <t>NAVIO COSMOS ACE (FICHA 054) - Veículos.</t>
  </si>
  <si>
    <t>NAVIO HHL HONG KONG (FICHA 055) - Máquinas e Equipamentos.</t>
  </si>
  <si>
    <t>NAVIO BBC COLORADO (FICHA 056) - Containeres, Máquinas e Equipamentos.</t>
  </si>
  <si>
    <t>NAVIO TINAMOU ARROW  (FICHA 038) - 2ª atracação - Barrilha a granel.</t>
  </si>
  <si>
    <t>BALSA LOCAR IX (FICHA 039) - Tubos de Aço.</t>
  </si>
  <si>
    <r>
      <rPr>
        <sz val="12"/>
        <rFont val="Estrangelo Edessa"/>
        <family val="4"/>
      </rPr>
      <t>9117, 9127, 9169, 9179, 9197, 9198, 9206, 9209, 9213, 9251, 9253, 9265, 9267, 9277 e 9283</t>
    </r>
    <r>
      <rPr>
        <sz val="10"/>
        <rFont val="Estrangelo Edessa"/>
        <family val="4"/>
      </rPr>
      <t>.</t>
    </r>
  </si>
  <si>
    <t>BALSA LOCAR IX (FICHA 057) - Tubos de Aço.</t>
  </si>
  <si>
    <t>RECEITAS DO PORTO DE SÃO SEBASTIÃO - JUNHO 2013</t>
  </si>
  <si>
    <t>TOTAL GERAL (A+B) JUNHO/2013</t>
  </si>
  <si>
    <t>BALSA LOCAR IX (FICHA) - Tubos de Aço.</t>
  </si>
  <si>
    <t>CARGAS A EXPORTAR JW IND. E COM.</t>
  </si>
  <si>
    <t>NAVIO HERCULES HIGHWAY (FICHA 032 ) - Veículos. - 2ª VIAGEM. (PD 275/13)</t>
  </si>
  <si>
    <t>9308, 9359, 9383, 9460, 9474</t>
  </si>
  <si>
    <t>BALSA LOCAR IX (FICHA 058) - Tubos de Aço.</t>
  </si>
  <si>
    <t>BALSA LOCAR IX (FICHA 059) - Tubos de Aço.</t>
  </si>
  <si>
    <t>BALSA LOCAR IX (FICHA 060) - Tubos de Aço.</t>
  </si>
  <si>
    <t>BALSA LOCAR IX (FICHA 061) - Tubos de Aço.</t>
  </si>
  <si>
    <t>BALSA LOCAR IX (FICHA 062) - Tubos de Aço.</t>
  </si>
  <si>
    <t>NAVIO WREN ARROW (FICHA 063) - Barrilha a granel.</t>
  </si>
  <si>
    <t>NAVIO ANSAC GLORY (FICHA 064) - Barrilha a granel.</t>
  </si>
  <si>
    <t>NAVIO HANJIN HINASE (FICHA 065) - Cevada a granel.</t>
  </si>
  <si>
    <t>NAVIO GRANDE ANVERSA (FICHA 066) - Veículos.</t>
  </si>
  <si>
    <t>NAVIO BBC VESUVIUS (FICHA 067) - Containers 40 " Cheios e Equipamentos.</t>
  </si>
  <si>
    <t>NAVIO HARMONY ACE (FICHA 068) - Veículos.</t>
  </si>
  <si>
    <t>RECEITAS DO PORTO DE SÃO SEBASTIÃO - JULHO 2013</t>
  </si>
  <si>
    <t>TOTAL GERAL (A+B) JULHO/2013</t>
  </si>
  <si>
    <t>BALSA LOCAR IX (FICHA 072) - Tubos de Aço.</t>
  </si>
  <si>
    <t>BALSA LOCAR IX (FICHA 073) - Tubos de Aço.</t>
  </si>
  <si>
    <t>BALSA LOCAR IX (FICHA 074) - Tubos de Aço.</t>
  </si>
  <si>
    <t>BALSA LOCAR IX (FICHA 075) - Tubos de Aço.</t>
  </si>
  <si>
    <t>BALSA LOCAR IX (FICHA 076) - Tubos de Aço.</t>
  </si>
  <si>
    <t>NAVIO HHL RICHARDS BAY (FICHA 077) - Máquinas e Equipamentos.</t>
  </si>
  <si>
    <t>NAVIO COSMOS ACE (FICHA 079) - Veículos.</t>
  </si>
  <si>
    <t>NAVIO NAVARRA (FICHA 080) - Barrilha a granel.</t>
  </si>
  <si>
    <t>NAVIO SILVERSTONE EXPRESS (FICHA 081) - Veículos.</t>
  </si>
  <si>
    <t>RECEITAS DO PORTO DE SÃO SEBASTIÃO - AGOSTO/2013</t>
  </si>
  <si>
    <t>TOTAL GERAL (A+B) AGOSTO/2013</t>
  </si>
  <si>
    <t xml:space="preserve"> TOTAL R$ </t>
  </si>
  <si>
    <t xml:space="preserve"> -     </t>
  </si>
  <si>
    <t>9660, 9661, 9662, 9676 e 9679</t>
  </si>
  <si>
    <t>NAVIO DA HONG XIA (FICHA 078) - Ulexita a granel.</t>
  </si>
  <si>
    <t>9821, 9838</t>
  </si>
  <si>
    <t>NAVIO WEAVER ARROW (FICHA 082) - BARRILHA A GRANEL.</t>
  </si>
  <si>
    <t>BALSA LOCAR IX (FICHA 083 ) - Tubos de Aço.</t>
  </si>
  <si>
    <t>BALSA LOCAR IX (FICHA 084) - Tubos de Aço.</t>
  </si>
  <si>
    <t>BALSA LOCAR IX (FICHA 085) - Tubos de Aço.</t>
  </si>
  <si>
    <t>BALSA LOCAR IX (FICHA 086) - Tubos de Aço.</t>
  </si>
  <si>
    <t>NAVIO INDIANA (FICHA 087) - SULFATO DE SÓDIO A GRANEL.</t>
  </si>
  <si>
    <t>NAVIO SIFNOS MARE (FICHA 088) - CEVADA A GRANEL.</t>
  </si>
  <si>
    <t>NAVIO BBC MINNESOTA (FICHA 089)-MÁQ. E EQUIP./ CONTAINER 40 " CHEIOS-(JW IND.E COM.)</t>
  </si>
  <si>
    <t>NAVIO BBC NORDKAP (FICHA 090) - ÓXIDO DE ALUMÍNIO A GRANEL.</t>
  </si>
  <si>
    <t>NAVIO ANSAC SPLENDOUR (FICHA 091) - BARRILHA A GRANEL.</t>
  </si>
  <si>
    <t>NAVIO HARMONY ACE (FICHA 092) - Veículos. (2ª ATRACAÇÃO).</t>
  </si>
  <si>
    <t>NAVIO AROSA (FICHA 093) - MALTE A GRANEL.</t>
  </si>
  <si>
    <t>NAVIO POPLAR ARROW (FICHA 094) - BARRILHA A GRANEL.</t>
  </si>
  <si>
    <t>RECEITAS DO PORTO DE SÃO SEBASTIÃO - SETEMBRO/2013</t>
  </si>
  <si>
    <t>TOTAL GERAL (A+B) SETEMBRO/2013</t>
  </si>
  <si>
    <t>NAVIO SIFNOS MARE (FICHA 095) - CEVADA A GRANEL.</t>
  </si>
  <si>
    <t>NAVIO LUMINOUS ACE (FICHA 096) - VEÍCULOS.</t>
  </si>
  <si>
    <t>NAVIO CONDOR ARROW (FICHA 097) - BARRILHA A GRANEL.</t>
  </si>
  <si>
    <t>RECEITAS DO PORTO DE SÃO SEBASTIÃO - OUTUBRO/2013</t>
  </si>
  <si>
    <t>TOTAL GERAL (A+B) OUTUBRO/2013</t>
  </si>
  <si>
    <t>NAVIO HHL LISBON (FICHA 098) - 1 CONTANER 20" CHEIO E EQUIPAMENTOS.</t>
  </si>
  <si>
    <t>NAVIO WEAVER ARROW (FICHA ) -</t>
  </si>
  <si>
    <t>NAVIO WREN ARROW  (FICHA 099) - BARRILHA A GRANEL.</t>
  </si>
  <si>
    <t>NAVIO ANTONIA (FICHA 100) - BARRILHA A GRANEL.</t>
  </si>
  <si>
    <t>NAVIO HAREFIELD (FICHA 101) - SULFATO DE SÓDIO A GRANEL.</t>
  </si>
  <si>
    <t>NAVIO LIBERTY ISLAND (FICHA 102) - BARRILHA A GRANEL.</t>
  </si>
  <si>
    <t>RECEITAS DO PORTO DE SÃO SEBASTIÃO - NOVEMBRO/2013</t>
  </si>
  <si>
    <t>TOTAL GERAL (A+B) NOVEMBRO/2013</t>
  </si>
  <si>
    <t>10187, 10191, 10222</t>
  </si>
  <si>
    <t>UTIL.CANAL ACESSO - NAVIOS TURISMO .  (11)</t>
  </si>
  <si>
    <t>9984, 10008, 10012, 10114</t>
  </si>
  <si>
    <t>NAVIO CALABRIA (FICHA 103) - SULFATO DE SÓDIO A GRANEL.</t>
  </si>
  <si>
    <t>NAVIO SIDER JOY (FICHA 104) - MALTE A GRANEL.</t>
  </si>
  <si>
    <t>NAVIO PROSPEROUS SEAS (FICHA 105) - ULEXITA A GRANEL.</t>
  </si>
  <si>
    <t>NAVIO HERANGER (FICHA 106) - CHAPAS DE AÇO CARBONO.</t>
  </si>
  <si>
    <t>NAVIO QUETZAL ARROW (FICHA 107) - BARRILHA A GRANEL.</t>
  </si>
  <si>
    <t>RECEITAS DO PORTO DE SÃO SEBASTIÃO - DEZEMBRO/2013</t>
  </si>
  <si>
    <t>TOTAL GERAL (A+B) DEZEMBRO/2013</t>
  </si>
  <si>
    <t>NAVIO MARIELLE BOLTEN (FICHA 108) - CEVADA A GRANEL.</t>
  </si>
  <si>
    <t>NAVIO COTINGA ARROW (FICHA 109) - BARRILHA A GRANEL.</t>
  </si>
  <si>
    <t>NAVIO HHL VENICE (FICHA 110) - ULEXITA A GRANEL.</t>
  </si>
  <si>
    <t>NAVIO HARMONY ACE (FICHA 111) - VEÍCULOS. (3ª ATRACAÇÃO).</t>
  </si>
  <si>
    <t>NAVIO SWAN ARROW (FICHA 112) - BARRILHA A GRANEL.</t>
  </si>
  <si>
    <t>NAVIO FRISIAN RIVER (FICHA 113) - TUBOS DE AÇO/EQUIPAMENTOS.</t>
  </si>
  <si>
    <t>10311, 10312, 10353, 10375, 10408</t>
  </si>
  <si>
    <t>UTIL.CANAL ACESSO - NAVIOS TURISMO .  (27)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</si>
</sst>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0\ _€_-;\-* #,##0.000\ _€_-;_-* &quot;-&quot;??\ _€_-;_-@_-"/>
    <numFmt numFmtId="181" formatCode="_-[$R$-416]\ * #,##0.00_-;\-[$R$-416]\ * #,##0.00_-;_-[$R$-416]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Estrangelo Edessa"/>
      <family val="4"/>
    </font>
    <font>
      <b/>
      <sz val="12"/>
      <name val="Estrangelo Edessa"/>
      <family val="4"/>
    </font>
    <font>
      <sz val="10"/>
      <name val="Estrangelo Edessa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Estrangelo Edessa"/>
      <family val="4"/>
    </font>
    <font>
      <b/>
      <sz val="12"/>
      <color indexed="60"/>
      <name val="Estrangelo Edessa"/>
      <family val="4"/>
    </font>
    <font>
      <b/>
      <sz val="12"/>
      <color indexed="49"/>
      <name val="Estrangelo Edessa"/>
      <family val="4"/>
    </font>
    <font>
      <b/>
      <sz val="12"/>
      <color indexed="8"/>
      <name val="Estrangelo Edessa"/>
      <family val="4"/>
    </font>
    <font>
      <b/>
      <sz val="12"/>
      <color indexed="9"/>
      <name val="Estrangelo Edessa"/>
      <family val="4"/>
    </font>
    <font>
      <b/>
      <sz val="10"/>
      <color indexed="60"/>
      <name val="Estrangelo Edessa"/>
      <family val="4"/>
    </font>
    <font>
      <b/>
      <sz val="12"/>
      <color indexed="10"/>
      <name val="Estrangelo Edessa"/>
      <family val="4"/>
    </font>
    <font>
      <sz val="11"/>
      <color indexed="8"/>
      <name val="Estrangelo Edessa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Estrangelo Edessa"/>
      <family val="4"/>
    </font>
    <font>
      <b/>
      <sz val="12"/>
      <color rgb="FFC00000"/>
      <name val="Estrangelo Edessa"/>
      <family val="4"/>
    </font>
    <font>
      <b/>
      <sz val="12"/>
      <color theme="8" tint="-0.24997000396251678"/>
      <name val="Estrangelo Edessa"/>
      <family val="4"/>
    </font>
    <font>
      <b/>
      <sz val="12"/>
      <color theme="1"/>
      <name val="Estrangelo Edessa"/>
      <family val="4"/>
    </font>
    <font>
      <b/>
      <sz val="12"/>
      <color theme="0"/>
      <name val="Estrangelo Edessa"/>
      <family val="4"/>
    </font>
    <font>
      <b/>
      <sz val="10"/>
      <color rgb="FFC00000"/>
      <name val="Estrangelo Edessa"/>
      <family val="4"/>
    </font>
    <font>
      <b/>
      <sz val="12"/>
      <color rgb="FFFF0000"/>
      <name val="Estrangelo Edessa"/>
      <family val="4"/>
    </font>
    <font>
      <sz val="11"/>
      <color theme="1"/>
      <name val="Estrangelo Edessa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3" fillId="0" borderId="0" xfId="48" applyFont="1">
      <alignment/>
      <protection/>
    </xf>
    <xf numFmtId="179" fontId="3" fillId="0" borderId="10" xfId="52" applyFont="1" applyBorder="1" applyAlignment="1">
      <alignment horizontal="right"/>
    </xf>
    <xf numFmtId="179" fontId="4" fillId="0" borderId="10" xfId="52" applyFont="1" applyBorder="1" applyAlignment="1">
      <alignment/>
    </xf>
    <xf numFmtId="179" fontId="4" fillId="0" borderId="10" xfId="52" applyFont="1" applyFill="1" applyBorder="1" applyAlignment="1">
      <alignment/>
    </xf>
    <xf numFmtId="179" fontId="4" fillId="0" borderId="10" xfId="52" applyFont="1" applyFill="1" applyBorder="1" applyAlignment="1">
      <alignment horizontal="center"/>
    </xf>
    <xf numFmtId="0" fontId="3" fillId="0" borderId="10" xfId="48" applyFont="1" applyBorder="1" applyAlignment="1">
      <alignment horizontal="left"/>
      <protection/>
    </xf>
    <xf numFmtId="0" fontId="46" fillId="0" borderId="0" xfId="0" applyFont="1" applyAlignment="1">
      <alignment/>
    </xf>
    <xf numFmtId="0" fontId="47" fillId="0" borderId="0" xfId="48" applyFont="1" applyAlignment="1">
      <alignment horizontal="left"/>
      <protection/>
    </xf>
    <xf numFmtId="0" fontId="4" fillId="0" borderId="0" xfId="48" applyFont="1" applyAlignment="1">
      <alignment horizontal="center"/>
      <protection/>
    </xf>
    <xf numFmtId="43" fontId="4" fillId="0" borderId="0" xfId="48" applyNumberFormat="1" applyFont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10" xfId="48" applyFont="1" applyBorder="1" applyAlignment="1">
      <alignment horizontal="justify"/>
      <protection/>
    </xf>
    <xf numFmtId="178" fontId="3" fillId="0" borderId="10" xfId="45" applyFont="1" applyBorder="1" applyAlignment="1">
      <alignment horizontal="center"/>
    </xf>
    <xf numFmtId="0" fontId="3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0" fontId="3" fillId="0" borderId="10" xfId="48" applyFont="1" applyBorder="1">
      <alignment/>
      <protection/>
    </xf>
    <xf numFmtId="10" fontId="4" fillId="0" borderId="0" xfId="48" applyNumberFormat="1" applyFont="1" applyFill="1">
      <alignment/>
      <protection/>
    </xf>
    <xf numFmtId="0" fontId="4" fillId="0" borderId="0" xfId="48" applyFont="1" applyFill="1" applyAlignment="1">
      <alignment horizontal="right"/>
      <protection/>
    </xf>
    <xf numFmtId="0" fontId="4" fillId="0" borderId="0" xfId="48" applyFont="1" applyAlignment="1">
      <alignment horizontal="right"/>
      <protection/>
    </xf>
    <xf numFmtId="0" fontId="47" fillId="0" borderId="0" xfId="48" applyFont="1" applyFill="1" applyAlignment="1">
      <alignment horizontal="right"/>
      <protection/>
    </xf>
    <xf numFmtId="0" fontId="4" fillId="0" borderId="10" xfId="48" applyFont="1" applyBorder="1" applyAlignment="1">
      <alignment horizontal="left"/>
      <protection/>
    </xf>
    <xf numFmtId="0" fontId="3" fillId="0" borderId="10" xfId="48" applyFont="1" applyFill="1" applyBorder="1">
      <alignment/>
      <protection/>
    </xf>
    <xf numFmtId="179" fontId="4" fillId="0" borderId="11" xfId="52" applyFont="1" applyFill="1" applyBorder="1" applyAlignment="1">
      <alignment/>
    </xf>
    <xf numFmtId="179" fontId="4" fillId="0" borderId="12" xfId="52" applyFont="1" applyFill="1" applyBorder="1" applyAlignment="1">
      <alignment/>
    </xf>
    <xf numFmtId="179" fontId="4" fillId="0" borderId="12" xfId="52" applyFont="1" applyBorder="1" applyAlignment="1">
      <alignment/>
    </xf>
    <xf numFmtId="0" fontId="47" fillId="0" borderId="0" xfId="48" applyFont="1" applyFill="1" applyAlignment="1">
      <alignment/>
      <protection/>
    </xf>
    <xf numFmtId="0" fontId="48" fillId="0" borderId="0" xfId="48" applyFont="1" applyAlignment="1">
      <alignment horizontal="center"/>
      <protection/>
    </xf>
    <xf numFmtId="0" fontId="47" fillId="0" borderId="0" xfId="48" applyFont="1" applyFill="1" applyAlignment="1">
      <alignment horizontal="left"/>
      <protection/>
    </xf>
    <xf numFmtId="0" fontId="3" fillId="0" borderId="10" xfId="48" applyFont="1" applyFill="1" applyBorder="1" applyAlignment="1">
      <alignment horizontal="left"/>
      <protection/>
    </xf>
    <xf numFmtId="179" fontId="3" fillId="0" borderId="10" xfId="52" applyFont="1" applyFill="1" applyBorder="1" applyAlignment="1">
      <alignment horizontal="right"/>
    </xf>
    <xf numFmtId="179" fontId="3" fillId="0" borderId="10" xfId="52" applyFont="1" applyFill="1" applyBorder="1" applyAlignment="1">
      <alignment horizontal="center"/>
    </xf>
    <xf numFmtId="179" fontId="4" fillId="0" borderId="10" xfId="52" applyFont="1" applyFill="1" applyBorder="1" applyAlignment="1">
      <alignment/>
    </xf>
    <xf numFmtId="43" fontId="46" fillId="0" borderId="0" xfId="0" applyNumberFormat="1" applyFont="1" applyAlignment="1">
      <alignment/>
    </xf>
    <xf numFmtId="0" fontId="3" fillId="0" borderId="10" xfId="48" applyFont="1" applyFill="1" applyBorder="1" applyAlignment="1">
      <alignment horizontal="center"/>
      <protection/>
    </xf>
    <xf numFmtId="0" fontId="3" fillId="0" borderId="10" xfId="48" applyFont="1" applyFill="1" applyBorder="1" applyAlignment="1">
      <alignment horizontal="justify"/>
      <protection/>
    </xf>
    <xf numFmtId="0" fontId="4" fillId="0" borderId="11" xfId="48" applyFont="1" applyBorder="1" applyAlignment="1">
      <alignment horizontal="justify"/>
      <protection/>
    </xf>
    <xf numFmtId="0" fontId="4" fillId="0" borderId="12" xfId="48" applyFont="1" applyBorder="1" applyAlignment="1">
      <alignment horizontal="justify"/>
      <protection/>
    </xf>
    <xf numFmtId="0" fontId="3" fillId="0" borderId="11" xfId="48" applyFont="1" applyBorder="1">
      <alignment/>
      <protection/>
    </xf>
    <xf numFmtId="179" fontId="3" fillId="0" borderId="11" xfId="52" applyFont="1" applyFill="1" applyBorder="1" applyAlignment="1">
      <alignment horizontal="right"/>
    </xf>
    <xf numFmtId="179" fontId="4" fillId="0" borderId="10" xfId="52" applyFont="1" applyFill="1" applyBorder="1" applyAlignment="1">
      <alignment horizontal="right"/>
    </xf>
    <xf numFmtId="0" fontId="46" fillId="0" borderId="10" xfId="0" applyFont="1" applyBorder="1" applyAlignment="1">
      <alignment/>
    </xf>
    <xf numFmtId="179" fontId="46" fillId="0" borderId="10" xfId="52" applyFont="1" applyBorder="1" applyAlignment="1">
      <alignment/>
    </xf>
    <xf numFmtId="179" fontId="49" fillId="0" borderId="10" xfId="52" applyFont="1" applyBorder="1" applyAlignment="1">
      <alignment/>
    </xf>
    <xf numFmtId="179" fontId="3" fillId="0" borderId="10" xfId="52" applyFont="1" applyFill="1" applyBorder="1" applyAlignment="1">
      <alignment horizontal="justify"/>
    </xf>
    <xf numFmtId="179" fontId="46" fillId="0" borderId="0" xfId="52" applyFont="1" applyAlignment="1">
      <alignment/>
    </xf>
    <xf numFmtId="0" fontId="5" fillId="0" borderId="0" xfId="48" applyFont="1" applyFill="1" applyAlignment="1">
      <alignment horizontal="left"/>
      <protection/>
    </xf>
    <xf numFmtId="0" fontId="3" fillId="33" borderId="10" xfId="48" applyFont="1" applyFill="1" applyBorder="1" applyAlignment="1">
      <alignment horizontal="left"/>
      <protection/>
    </xf>
    <xf numFmtId="179" fontId="3" fillId="33" borderId="10" xfId="52" applyFont="1" applyFill="1" applyBorder="1" applyAlignment="1">
      <alignment horizontal="right"/>
    </xf>
    <xf numFmtId="179" fontId="4" fillId="33" borderId="10" xfId="52" applyFont="1" applyFill="1" applyBorder="1" applyAlignment="1">
      <alignment horizontal="center"/>
    </xf>
    <xf numFmtId="0" fontId="3" fillId="33" borderId="0" xfId="48" applyFont="1" applyFill="1">
      <alignment/>
      <protection/>
    </xf>
    <xf numFmtId="0" fontId="46" fillId="33" borderId="0" xfId="0" applyFont="1" applyFill="1" applyAlignment="1">
      <alignment/>
    </xf>
    <xf numFmtId="179" fontId="4" fillId="33" borderId="10" xfId="52" applyFont="1" applyFill="1" applyBorder="1" applyAlignment="1">
      <alignment/>
    </xf>
    <xf numFmtId="179" fontId="3" fillId="33" borderId="10" xfId="52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43" fontId="50" fillId="33" borderId="0" xfId="0" applyNumberFormat="1" applyFont="1" applyFill="1" applyAlignment="1">
      <alignment/>
    </xf>
    <xf numFmtId="0" fontId="51" fillId="0" borderId="0" xfId="48" applyFont="1" applyFill="1" applyAlignment="1">
      <alignment horizontal="left"/>
      <protection/>
    </xf>
    <xf numFmtId="43" fontId="52" fillId="33" borderId="0" xfId="0" applyNumberFormat="1" applyFont="1" applyFill="1" applyAlignment="1">
      <alignment/>
    </xf>
    <xf numFmtId="0" fontId="53" fillId="33" borderId="10" xfId="0" applyFont="1" applyFill="1" applyBorder="1" applyAlignment="1">
      <alignment/>
    </xf>
    <xf numFmtId="0" fontId="4" fillId="0" borderId="0" xfId="48" applyFont="1" applyAlignment="1">
      <alignment horizontal="center"/>
      <protection/>
    </xf>
    <xf numFmtId="0" fontId="4" fillId="13" borderId="13" xfId="48" applyFont="1" applyFill="1" applyBorder="1" applyAlignment="1">
      <alignment horizontal="center"/>
      <protection/>
    </xf>
    <xf numFmtId="0" fontId="4" fillId="13" borderId="14" xfId="48" applyFont="1" applyFill="1" applyBorder="1" applyAlignment="1">
      <alignment horizontal="center"/>
      <protection/>
    </xf>
    <xf numFmtId="0" fontId="4" fillId="13" borderId="15" xfId="48" applyFont="1" applyFill="1" applyBorder="1" applyAlignment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2095500</xdr:colOff>
      <xdr:row>4</xdr:row>
      <xdr:rowOff>133350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95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="75" zoomScaleNormal="75" zoomScalePageLayoutView="0" workbookViewId="0" topLeftCell="A1">
      <pane ySplit="8" topLeftCell="A28" activePane="bottomLeft" state="frozen"/>
      <selection pane="topLeft" activeCell="A1" sqref="A1"/>
      <selection pane="bottomLeft" activeCell="A47" sqref="A47"/>
    </sheetView>
  </sheetViews>
  <sheetFormatPr defaultColWidth="9.140625" defaultRowHeight="15"/>
  <cols>
    <col min="1" max="1" width="75.00390625" style="7" customWidth="1"/>
    <col min="2" max="2" width="19.140625" style="7" customWidth="1"/>
    <col min="3" max="3" width="20.57421875" style="7" bestFit="1" customWidth="1"/>
    <col min="4" max="4" width="21.57421875" style="7" bestFit="1" customWidth="1"/>
    <col min="5" max="5" width="21.140625" style="7" bestFit="1" customWidth="1"/>
    <col min="6" max="6" width="18.00390625" style="7" bestFit="1" customWidth="1"/>
    <col min="7" max="7" width="15.8515625" style="7" bestFit="1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8408</v>
      </c>
      <c r="D1" s="28">
        <v>8581</v>
      </c>
      <c r="E1" s="20" t="s">
        <v>16</v>
      </c>
      <c r="F1" s="28" t="s">
        <v>48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1329</v>
      </c>
      <c r="D2" s="8">
        <v>1355</v>
      </c>
      <c r="E2" s="20" t="s">
        <v>16</v>
      </c>
      <c r="F2" s="8"/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44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33">
      <c r="A8" s="21" t="s">
        <v>21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f>840.05+840.05+1680.1+1680.1</f>
        <v>5040.299999999999</v>
      </c>
      <c r="C9" s="2">
        <f>428.26+856.52+1713.04+2569.56</f>
        <v>5567.379999999999</v>
      </c>
      <c r="D9" s="2">
        <f>1101+1101+3303+2202+3303</f>
        <v>11010</v>
      </c>
      <c r="E9" s="2">
        <f>2183.12+168448.95</f>
        <v>170632.07</v>
      </c>
      <c r="F9" s="2">
        <f>1981.72</f>
        <v>1981.72</v>
      </c>
      <c r="G9" s="2">
        <v>0</v>
      </c>
      <c r="H9" s="2">
        <v>0</v>
      </c>
      <c r="I9" s="2">
        <v>0</v>
      </c>
      <c r="J9" s="3">
        <f aca="true" t="shared" si="0" ref="J9:J14">SUM(B9:I9)</f>
        <v>194231.47</v>
      </c>
      <c r="K9" s="1"/>
    </row>
    <row r="10" spans="1:11" ht="16.5">
      <c r="A10" s="29" t="s">
        <v>51</v>
      </c>
      <c r="B10" s="2">
        <v>1627.9</v>
      </c>
      <c r="C10" s="2">
        <f>3649.19</f>
        <v>3649.19</v>
      </c>
      <c r="D10" s="2">
        <f>88+4404</f>
        <v>4492</v>
      </c>
      <c r="E10" s="2">
        <v>0</v>
      </c>
      <c r="F10" s="2">
        <f>827.32</f>
        <v>827.32</v>
      </c>
      <c r="G10" s="2">
        <v>0</v>
      </c>
      <c r="H10" s="2">
        <v>0</v>
      </c>
      <c r="I10" s="2">
        <v>0</v>
      </c>
      <c r="J10" s="3">
        <f t="shared" si="0"/>
        <v>10596.41</v>
      </c>
      <c r="K10" s="1"/>
    </row>
    <row r="11" spans="1:11" ht="16.5">
      <c r="A11" s="29" t="s">
        <v>54</v>
      </c>
      <c r="B11" s="2">
        <f>1067+112</f>
        <v>1179</v>
      </c>
      <c r="C11" s="2">
        <f>7680.76</f>
        <v>7680.76</v>
      </c>
      <c r="D11" s="2">
        <f>5505+176</f>
        <v>5681</v>
      </c>
      <c r="E11" s="2">
        <f>25056.43</f>
        <v>25056.43</v>
      </c>
      <c r="F11" s="2">
        <f>327.08</f>
        <v>327.08</v>
      </c>
      <c r="G11" s="2">
        <v>0</v>
      </c>
      <c r="H11" s="2">
        <f>9.33</f>
        <v>9.33</v>
      </c>
      <c r="I11" s="2">
        <v>0</v>
      </c>
      <c r="J11" s="3">
        <f t="shared" si="0"/>
        <v>39933.600000000006</v>
      </c>
      <c r="K11" s="1"/>
    </row>
    <row r="12" spans="1:11" ht="16.5">
      <c r="A12" s="29" t="s">
        <v>57</v>
      </c>
      <c r="B12" s="2">
        <f>1627.9</f>
        <v>1627.9</v>
      </c>
      <c r="C12" s="2">
        <f>2240.05</f>
        <v>2240.05</v>
      </c>
      <c r="D12" s="2">
        <f>88</f>
        <v>88</v>
      </c>
      <c r="E12" s="2">
        <v>0</v>
      </c>
      <c r="F12" s="2">
        <v>769.6</v>
      </c>
      <c r="G12" s="2">
        <v>0</v>
      </c>
      <c r="H12" s="2">
        <v>0</v>
      </c>
      <c r="I12" s="2">
        <v>0</v>
      </c>
      <c r="J12" s="3">
        <f t="shared" si="0"/>
        <v>4725.55</v>
      </c>
      <c r="K12" s="1"/>
    </row>
    <row r="13" spans="1:12" ht="16.5">
      <c r="A13" s="29" t="s">
        <v>46</v>
      </c>
      <c r="B13" s="30">
        <v>0</v>
      </c>
      <c r="C13" s="30">
        <v>0</v>
      </c>
      <c r="D13" s="30">
        <v>0</v>
      </c>
      <c r="E13" s="30">
        <f>1670.45+1044.01</f>
        <v>2714.46</v>
      </c>
      <c r="F13" s="30">
        <v>0</v>
      </c>
      <c r="G13" s="30">
        <v>0</v>
      </c>
      <c r="H13" s="30">
        <v>0</v>
      </c>
      <c r="I13" s="30">
        <v>0</v>
      </c>
      <c r="J13" s="32">
        <f t="shared" si="0"/>
        <v>2714.46</v>
      </c>
      <c r="K13" s="1"/>
      <c r="L13" s="1"/>
    </row>
    <row r="14" spans="1:11" ht="16.5">
      <c r="A14" s="6"/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3">
        <f t="shared" si="0"/>
        <v>0</v>
      </c>
      <c r="K14" s="1"/>
    </row>
    <row r="15" spans="1:11" ht="16.5">
      <c r="A15" s="21" t="s">
        <v>8</v>
      </c>
      <c r="B15" s="4">
        <f aca="true" t="shared" si="1" ref="B15:J15">SUM(B9:B14)</f>
        <v>9475.099999999999</v>
      </c>
      <c r="C15" s="4">
        <f t="shared" si="1"/>
        <v>19137.38</v>
      </c>
      <c r="D15" s="4">
        <f t="shared" si="1"/>
        <v>21271</v>
      </c>
      <c r="E15" s="40">
        <f t="shared" si="1"/>
        <v>198402.96</v>
      </c>
      <c r="F15" s="4">
        <f t="shared" si="1"/>
        <v>3905.72</v>
      </c>
      <c r="G15" s="4">
        <f t="shared" si="1"/>
        <v>0</v>
      </c>
      <c r="H15" s="4">
        <f t="shared" si="1"/>
        <v>9.33</v>
      </c>
      <c r="I15" s="4">
        <f t="shared" si="1"/>
        <v>0</v>
      </c>
      <c r="J15" s="4">
        <f t="shared" si="1"/>
        <v>252201.49</v>
      </c>
      <c r="K15" s="15"/>
    </row>
    <row r="16" spans="1:11" ht="33">
      <c r="A16" s="21" t="s">
        <v>13</v>
      </c>
      <c r="B16" s="34" t="s">
        <v>0</v>
      </c>
      <c r="C16" s="34" t="s">
        <v>1</v>
      </c>
      <c r="D16" s="34" t="s">
        <v>2</v>
      </c>
      <c r="E16" s="34" t="s">
        <v>3</v>
      </c>
      <c r="F16" s="35" t="s">
        <v>4</v>
      </c>
      <c r="G16" s="35" t="s">
        <v>5</v>
      </c>
      <c r="H16" s="35" t="s">
        <v>6</v>
      </c>
      <c r="I16" s="35" t="s">
        <v>7</v>
      </c>
      <c r="J16" s="5" t="s">
        <v>14</v>
      </c>
      <c r="K16" s="1"/>
    </row>
    <row r="17" spans="1:11" ht="16.5">
      <c r="A17" s="6" t="s">
        <v>20</v>
      </c>
      <c r="B17" s="31">
        <v>0</v>
      </c>
      <c r="C17" s="31">
        <v>0</v>
      </c>
      <c r="D17" s="31">
        <v>0</v>
      </c>
      <c r="E17" s="31">
        <v>0</v>
      </c>
      <c r="F17" s="31">
        <f>0</f>
        <v>0</v>
      </c>
      <c r="G17" s="31">
        <f>0</f>
        <v>0</v>
      </c>
      <c r="H17" s="31">
        <f>0</f>
        <v>0</v>
      </c>
      <c r="I17" s="31">
        <f>0</f>
        <v>0</v>
      </c>
      <c r="J17" s="32">
        <f aca="true" t="shared" si="2" ref="J17:J48">SUM(B17:I17)</f>
        <v>0</v>
      </c>
      <c r="K17" s="1"/>
    </row>
    <row r="18" spans="1:11" ht="16.5">
      <c r="A18" s="6" t="s">
        <v>27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2">
        <f t="shared" si="2"/>
        <v>0</v>
      </c>
      <c r="K18" s="1"/>
    </row>
    <row r="19" spans="1:11" ht="16.5">
      <c r="A19" s="6" t="s">
        <v>25</v>
      </c>
      <c r="B19" s="31">
        <v>0</v>
      </c>
      <c r="C19" s="31">
        <v>0</v>
      </c>
      <c r="D19" s="31">
        <v>0</v>
      </c>
      <c r="E19" s="31">
        <f>27539.76+6605.12</f>
        <v>34144.88</v>
      </c>
      <c r="F19" s="31">
        <v>0</v>
      </c>
      <c r="G19" s="31">
        <v>0</v>
      </c>
      <c r="H19" s="31">
        <v>0</v>
      </c>
      <c r="I19" s="31">
        <v>0</v>
      </c>
      <c r="J19" s="32">
        <f t="shared" si="2"/>
        <v>34144.88</v>
      </c>
      <c r="K19" s="1"/>
    </row>
    <row r="20" spans="1:12" ht="16.5">
      <c r="A20" s="29" t="s">
        <v>23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2">
        <f t="shared" si="2"/>
        <v>0</v>
      </c>
      <c r="K20" s="1"/>
      <c r="L20" s="1"/>
    </row>
    <row r="21" spans="1:12" ht="16.5">
      <c r="A21" s="29" t="s">
        <v>24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2">
        <f t="shared" si="2"/>
        <v>0</v>
      </c>
      <c r="K21" s="1"/>
      <c r="L21" s="1"/>
    </row>
    <row r="22" spans="1:12" ht="16.5">
      <c r="A22" s="29" t="s">
        <v>35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2">
        <f t="shared" si="2"/>
        <v>0</v>
      </c>
      <c r="K22" s="1"/>
      <c r="L22" s="1"/>
    </row>
    <row r="23" spans="1:12" ht="16.5">
      <c r="A23" s="29" t="s">
        <v>34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2">
        <f t="shared" si="2"/>
        <v>0</v>
      </c>
      <c r="K23" s="1"/>
      <c r="L23" s="1"/>
    </row>
    <row r="24" spans="1:12" ht="16.5">
      <c r="A24" s="29" t="s">
        <v>36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2">
        <f t="shared" si="2"/>
        <v>0</v>
      </c>
      <c r="K24" s="1"/>
      <c r="L24" s="1"/>
    </row>
    <row r="25" spans="1:12" ht="16.5">
      <c r="A25" s="29" t="s">
        <v>33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2">
        <f t="shared" si="2"/>
        <v>0</v>
      </c>
      <c r="K25" s="1"/>
      <c r="L25" s="1"/>
    </row>
    <row r="26" spans="1:12" ht="16.5">
      <c r="A26" s="29" t="s">
        <v>28</v>
      </c>
      <c r="B26" s="30">
        <v>0</v>
      </c>
      <c r="C26" s="30">
        <v>0</v>
      </c>
      <c r="D26" s="30">
        <v>0</v>
      </c>
      <c r="E26" s="30">
        <f>186</f>
        <v>186</v>
      </c>
      <c r="F26" s="30">
        <v>0</v>
      </c>
      <c r="G26" s="30">
        <v>0</v>
      </c>
      <c r="H26" s="30">
        <v>0</v>
      </c>
      <c r="I26" s="30">
        <v>0</v>
      </c>
      <c r="J26" s="32">
        <f t="shared" si="2"/>
        <v>186</v>
      </c>
      <c r="K26" s="1"/>
      <c r="L26" s="1"/>
    </row>
    <row r="27" spans="1:12" ht="16.5">
      <c r="A27" s="29" t="s">
        <v>31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2">
        <f t="shared" si="2"/>
        <v>0</v>
      </c>
      <c r="K27" s="1"/>
      <c r="L27" s="1"/>
    </row>
    <row r="28" spans="1:12" ht="16.5">
      <c r="A28" s="29" t="s">
        <v>32</v>
      </c>
      <c r="B28" s="30">
        <v>0</v>
      </c>
      <c r="C28" s="30">
        <v>0</v>
      </c>
      <c r="D28" s="30">
        <v>0</v>
      </c>
      <c r="E28" s="30">
        <f>3528</f>
        <v>3528</v>
      </c>
      <c r="F28" s="30">
        <v>0</v>
      </c>
      <c r="G28" s="30">
        <v>0</v>
      </c>
      <c r="H28" s="30">
        <v>0</v>
      </c>
      <c r="I28" s="30">
        <v>0</v>
      </c>
      <c r="J28" s="32">
        <f t="shared" si="2"/>
        <v>3528</v>
      </c>
      <c r="K28" s="1"/>
      <c r="L28" s="1"/>
    </row>
    <row r="29" spans="1:12" ht="16.5">
      <c r="A29" s="29" t="s">
        <v>38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2">
        <f t="shared" si="2"/>
        <v>0</v>
      </c>
      <c r="K29" s="1"/>
      <c r="L29" s="1"/>
    </row>
    <row r="30" spans="1:12" ht="16.5">
      <c r="A30" s="29" t="s">
        <v>30</v>
      </c>
      <c r="B30" s="30">
        <v>0</v>
      </c>
      <c r="C30" s="30">
        <v>0</v>
      </c>
      <c r="D30" s="30">
        <v>0</v>
      </c>
      <c r="E30" s="30">
        <f>25594.21+30730.46</f>
        <v>56324.67</v>
      </c>
      <c r="F30" s="30">
        <v>0</v>
      </c>
      <c r="G30" s="30">
        <v>0</v>
      </c>
      <c r="H30" s="30">
        <v>0</v>
      </c>
      <c r="I30" s="30">
        <v>0</v>
      </c>
      <c r="J30" s="32">
        <f>SUM(B30:I30)</f>
        <v>56324.67</v>
      </c>
      <c r="K30" s="1"/>
      <c r="L30" s="1"/>
    </row>
    <row r="31" spans="1:12" ht="16.5">
      <c r="A31" s="29" t="s">
        <v>29</v>
      </c>
      <c r="B31" s="30">
        <v>0</v>
      </c>
      <c r="C31" s="30">
        <v>0</v>
      </c>
      <c r="D31" s="30">
        <v>0</v>
      </c>
      <c r="E31" s="30">
        <f>4444.47+5333.6</f>
        <v>9778.07</v>
      </c>
      <c r="F31" s="30">
        <v>0</v>
      </c>
      <c r="G31" s="30">
        <v>0</v>
      </c>
      <c r="H31" s="30">
        <v>0</v>
      </c>
      <c r="I31" s="30">
        <v>0</v>
      </c>
      <c r="J31" s="32">
        <f>SUM(B31:I31)</f>
        <v>9778.07</v>
      </c>
      <c r="K31" s="1"/>
      <c r="L31" s="1"/>
    </row>
    <row r="32" spans="1:12" ht="16.5">
      <c r="A32" s="29" t="s">
        <v>37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2">
        <f>SUM(B32:I32)</f>
        <v>0</v>
      </c>
      <c r="K32" s="1"/>
      <c r="L32" s="1"/>
    </row>
    <row r="33" spans="1:12" ht="16.5">
      <c r="A33" s="29" t="s">
        <v>39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2">
        <f aca="true" t="shared" si="3" ref="J33:J38">SUM(B33:I33)</f>
        <v>0</v>
      </c>
      <c r="K33" s="1"/>
      <c r="L33" s="1"/>
    </row>
    <row r="34" spans="1:12" ht="16.5">
      <c r="A34" s="29" t="s">
        <v>41</v>
      </c>
      <c r="B34" s="30">
        <v>0</v>
      </c>
      <c r="C34" s="30">
        <v>0</v>
      </c>
      <c r="D34" s="30">
        <v>0</v>
      </c>
      <c r="E34" s="30">
        <f>62000+26334.5</f>
        <v>88334.5</v>
      </c>
      <c r="F34" s="30">
        <v>0</v>
      </c>
      <c r="G34" s="30">
        <v>0</v>
      </c>
      <c r="H34" s="30">
        <v>0</v>
      </c>
      <c r="I34" s="30">
        <v>0</v>
      </c>
      <c r="J34" s="32">
        <f t="shared" si="3"/>
        <v>88334.5</v>
      </c>
      <c r="K34" s="1"/>
      <c r="L34" s="1"/>
    </row>
    <row r="35" spans="1:12" ht="16.5">
      <c r="A35" s="29" t="s">
        <v>40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2">
        <f t="shared" si="3"/>
        <v>0</v>
      </c>
      <c r="K35" s="1"/>
      <c r="L35" s="1"/>
    </row>
    <row r="36" spans="1:12" ht="16.5">
      <c r="A36" s="29" t="s">
        <v>49</v>
      </c>
      <c r="B36" s="30">
        <f>2471.49</f>
        <v>2471.49</v>
      </c>
      <c r="C36" s="30">
        <f>4886.42</f>
        <v>4886.42</v>
      </c>
      <c r="D36" s="30">
        <f>13215</f>
        <v>13215</v>
      </c>
      <c r="E36" s="30">
        <f>14167+78297.28</f>
        <v>92464.28</v>
      </c>
      <c r="F36" s="30">
        <v>0</v>
      </c>
      <c r="G36" s="30">
        <v>0</v>
      </c>
      <c r="H36" s="30">
        <v>0</v>
      </c>
      <c r="I36" s="30">
        <v>0</v>
      </c>
      <c r="J36" s="32">
        <f t="shared" si="3"/>
        <v>113037.19</v>
      </c>
      <c r="K36" s="1"/>
      <c r="L36" s="1"/>
    </row>
    <row r="37" spans="1:12" ht="16.5">
      <c r="A37" s="29" t="s">
        <v>42</v>
      </c>
      <c r="B37" s="30">
        <v>0</v>
      </c>
      <c r="C37" s="30">
        <v>0</v>
      </c>
      <c r="D37" s="30">
        <v>0</v>
      </c>
      <c r="E37" s="30">
        <f>26369.26+34075.93+19098.14</f>
        <v>79543.33</v>
      </c>
      <c r="F37" s="30">
        <v>0</v>
      </c>
      <c r="G37" s="30">
        <v>0</v>
      </c>
      <c r="H37" s="30">
        <v>0</v>
      </c>
      <c r="I37" s="30">
        <v>0</v>
      </c>
      <c r="J37" s="32">
        <f t="shared" si="3"/>
        <v>79543.33</v>
      </c>
      <c r="K37" s="1"/>
      <c r="L37" s="1"/>
    </row>
    <row r="38" spans="1:12" ht="16.5">
      <c r="A38" s="29" t="s">
        <v>43</v>
      </c>
      <c r="B38" s="30">
        <v>0</v>
      </c>
      <c r="C38" s="30">
        <v>0</v>
      </c>
      <c r="D38" s="30">
        <v>0</v>
      </c>
      <c r="E38" s="30">
        <f>16539.57+49618.71</f>
        <v>66158.28</v>
      </c>
      <c r="F38" s="30">
        <v>0</v>
      </c>
      <c r="G38" s="30">
        <v>0</v>
      </c>
      <c r="H38" s="30">
        <v>0</v>
      </c>
      <c r="I38" s="30">
        <v>0</v>
      </c>
      <c r="J38" s="32">
        <f t="shared" si="3"/>
        <v>66158.28</v>
      </c>
      <c r="K38" s="1"/>
      <c r="L38" s="1"/>
    </row>
    <row r="39" spans="1:12" ht="16.5">
      <c r="A39" s="29" t="s">
        <v>50</v>
      </c>
      <c r="B39" s="30">
        <f>112+3321.18</f>
        <v>3433.18</v>
      </c>
      <c r="C39" s="30">
        <f>25802</f>
        <v>25802</v>
      </c>
      <c r="D39" s="30">
        <f>176+79781.82</f>
        <v>79957.82</v>
      </c>
      <c r="E39" s="30">
        <v>0</v>
      </c>
      <c r="F39" s="30">
        <f>2886</f>
        <v>2886</v>
      </c>
      <c r="G39" s="30">
        <v>0</v>
      </c>
      <c r="H39" s="30">
        <v>0</v>
      </c>
      <c r="I39" s="30">
        <v>0</v>
      </c>
      <c r="J39" s="32">
        <f aca="true" t="shared" si="4" ref="J39:J44">SUM(B39:I39)</f>
        <v>112079</v>
      </c>
      <c r="K39" s="1"/>
      <c r="L39" s="1"/>
    </row>
    <row r="40" spans="1:12" ht="16.5">
      <c r="A40" s="29" t="s">
        <v>52</v>
      </c>
      <c r="B40" s="30">
        <f>1232.07+56</f>
        <v>1288.07</v>
      </c>
      <c r="C40" s="30">
        <f>5688.14</f>
        <v>5688.14</v>
      </c>
      <c r="D40" s="30">
        <f>13215+88</f>
        <v>13303</v>
      </c>
      <c r="E40" s="30">
        <f>350</f>
        <v>350</v>
      </c>
      <c r="F40" s="30">
        <f>4309.76</f>
        <v>4309.76</v>
      </c>
      <c r="G40" s="30">
        <v>0</v>
      </c>
      <c r="H40" s="30">
        <v>0</v>
      </c>
      <c r="I40" s="30">
        <v>0</v>
      </c>
      <c r="J40" s="32">
        <f t="shared" si="4"/>
        <v>24938.97</v>
      </c>
      <c r="K40" s="1"/>
      <c r="L40" s="1"/>
    </row>
    <row r="41" spans="1:12" ht="16.5">
      <c r="A41" s="29" t="s">
        <v>58</v>
      </c>
      <c r="B41" s="30">
        <f>1898.47</f>
        <v>1898.47</v>
      </c>
      <c r="C41" s="30">
        <f>3864.65</f>
        <v>3864.65</v>
      </c>
      <c r="D41" s="30">
        <f>8810+8810</f>
        <v>17620</v>
      </c>
      <c r="E41" s="30">
        <f>315+980</f>
        <v>1295</v>
      </c>
      <c r="F41" s="30">
        <v>0</v>
      </c>
      <c r="G41" s="30">
        <v>0</v>
      </c>
      <c r="H41" s="30">
        <v>0</v>
      </c>
      <c r="I41" s="30">
        <v>0</v>
      </c>
      <c r="J41" s="32">
        <f t="shared" si="4"/>
        <v>24678.12</v>
      </c>
      <c r="K41" s="1"/>
      <c r="L41" s="1"/>
    </row>
    <row r="42" spans="1:12" ht="16.5">
      <c r="A42" s="29" t="s">
        <v>53</v>
      </c>
      <c r="B42" s="30">
        <f>5305.59</f>
        <v>5305.59</v>
      </c>
      <c r="C42" s="30">
        <f>17029.32</f>
        <v>17029.32</v>
      </c>
      <c r="D42" s="30">
        <f>44050</f>
        <v>44050</v>
      </c>
      <c r="E42" s="30">
        <f>16633.66+24950.48</f>
        <v>41584.14</v>
      </c>
      <c r="F42" s="30">
        <v>0</v>
      </c>
      <c r="G42" s="30">
        <v>0</v>
      </c>
      <c r="H42" s="30">
        <v>0</v>
      </c>
      <c r="I42" s="30">
        <v>0</v>
      </c>
      <c r="J42" s="32">
        <f t="shared" si="4"/>
        <v>107969.05</v>
      </c>
      <c r="K42" s="1"/>
      <c r="L42" s="1"/>
    </row>
    <row r="43" spans="1:10" ht="16.5">
      <c r="A43" s="41" t="s">
        <v>55</v>
      </c>
      <c r="B43" s="42">
        <f>2712.51</f>
        <v>2712.51</v>
      </c>
      <c r="C43" s="42">
        <f>6295.89</f>
        <v>6295.89</v>
      </c>
      <c r="D43" s="42">
        <f>13215</f>
        <v>13215</v>
      </c>
      <c r="E43" s="42">
        <f>46748+92050.62+10633+4960</f>
        <v>154391.62</v>
      </c>
      <c r="F43" s="42">
        <v>0</v>
      </c>
      <c r="G43" s="42">
        <v>0</v>
      </c>
      <c r="H43" s="42">
        <v>0</v>
      </c>
      <c r="I43" s="42">
        <v>0</v>
      </c>
      <c r="J43" s="43">
        <f t="shared" si="4"/>
        <v>176615.02</v>
      </c>
    </row>
    <row r="44" spans="1:12" ht="16.5">
      <c r="A44" s="29" t="s">
        <v>56</v>
      </c>
      <c r="B44" s="30">
        <f>6991.2</f>
        <v>6991.2</v>
      </c>
      <c r="C44" s="30">
        <f>14628.54</f>
        <v>14628.54</v>
      </c>
      <c r="D44" s="30">
        <f>39645</f>
        <v>39645</v>
      </c>
      <c r="E44" s="30">
        <f>11843.08</f>
        <v>11843.08</v>
      </c>
      <c r="F44" s="30">
        <v>0</v>
      </c>
      <c r="G44" s="30">
        <v>0</v>
      </c>
      <c r="H44" s="30">
        <v>0</v>
      </c>
      <c r="I44" s="30">
        <v>0</v>
      </c>
      <c r="J44" s="32">
        <f t="shared" si="4"/>
        <v>73107.82</v>
      </c>
      <c r="K44" s="1"/>
      <c r="L44" s="1"/>
    </row>
    <row r="45" spans="1:12" ht="16.5">
      <c r="A45" s="29" t="s">
        <v>47</v>
      </c>
      <c r="B45" s="30">
        <f>3389+3341.74+2786.01+2702.2+3604.55+3537.68+2420+2702.2+3389+3452+2786.01+3537.68+3604.55+2420+3537.68+3389+2786.01+2420+3604.55+3537.68+3452+3389+3537.68+3537.68+2420+2786.01+3604.55</f>
        <v>85674.45999999999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2">
        <f t="shared" si="2"/>
        <v>85674.45999999999</v>
      </c>
      <c r="K45" s="1"/>
      <c r="L45" s="1"/>
    </row>
    <row r="46" spans="1:12" ht="16.5">
      <c r="A46" s="16" t="s">
        <v>26</v>
      </c>
      <c r="B46" s="30">
        <f>5645.34+10572.9+4962.6+7956.99</f>
        <v>29137.83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2">
        <f t="shared" si="2"/>
        <v>29137.83</v>
      </c>
      <c r="K46" s="1"/>
      <c r="L46" s="1"/>
    </row>
    <row r="47" spans="1:12" ht="16.5">
      <c r="A47" s="22" t="s">
        <v>9</v>
      </c>
      <c r="B47" s="30">
        <f>112+56+112+56+56+168+56+168+112+224+112+112+56+56+56+56+112+224+336+336+56+224+280+56+56+56+56+56+224+56+56+56+56+56+56+56+56+112+56+168+392+224+168+112+112+280+168+56+301+56+56+56+112+56+56+56+112+112+56+56</f>
        <v>7021</v>
      </c>
      <c r="C47" s="30">
        <f>93.1+134.66+134.66+651.7+93.1+266+93.1+93.1+134+455.53+387.03+192.85+66.5+66.5+2660.67+2005+1389.85+93.1+66.5+93.1+552.97+590.18+568.58+129.01+268+945.63+93.1+1117.2+134.66+93.1+93.1+279.3+59.85+93.1+93.1+93.1+93.1+93.1+93.1+66.5+372.4+93.1+387.03+744.8+279.3+258.02+209.49+3080.68+1795.5+1097.25+268.67+547.31+526.02+263.01+134.66+159.6+186.2+786.36+66.5+258.02+129.01+134.66+134.66+134.66+134.66+700.91+93.1+134.66+279.3</f>
        <v>28109.37</v>
      </c>
      <c r="D47" s="30">
        <f>264+264+176+88+176+440+264+440+176+352+176+176+88+88+88+88+320+352+528+616+880+528+528+88+88+176+264+176+352+352+88+528+176+176+264+88+88+88+176+88+264+616+352+264+792+176+704+264+176+88+88+88+88+176+88+264+88+616+352+176+88+176</f>
        <v>16336</v>
      </c>
      <c r="E47" s="30">
        <f>210+315+6622+210+332.5+1085+980+630+350+2345+87.5+2100+455+35+122.5+2138.64+1617.28+35+140+35+105+3307.5+840+2712.5+210+3360+647.5+210+490+70+70</f>
        <v>31867.92</v>
      </c>
      <c r="F47" s="30">
        <f>711.88+327.08+57.72+134.68+2539.68+1924+134.68+38.48+2386.33</f>
        <v>8254.529999999999</v>
      </c>
      <c r="G47" s="30">
        <f>315.21+1406.2</f>
        <v>1721.41</v>
      </c>
      <c r="H47" s="30">
        <f>18.66+18.66+9.33+9.33+9.33+27.99+18.66+9.33+18.66</f>
        <v>139.95</v>
      </c>
      <c r="I47" s="30">
        <v>0</v>
      </c>
      <c r="J47" s="32">
        <f t="shared" si="2"/>
        <v>93450.18</v>
      </c>
      <c r="K47" s="1"/>
      <c r="L47" s="1"/>
    </row>
    <row r="48" spans="1:12" ht="16.5">
      <c r="A48" s="22" t="s">
        <v>19</v>
      </c>
      <c r="B48" s="30">
        <v>0</v>
      </c>
      <c r="C48" s="30">
        <v>0</v>
      </c>
      <c r="D48" s="30">
        <v>0</v>
      </c>
      <c r="E48" s="30">
        <f>4545+360+1440+4185+1890+675</f>
        <v>13095</v>
      </c>
      <c r="F48" s="30">
        <v>0</v>
      </c>
      <c r="G48" s="30">
        <v>0</v>
      </c>
      <c r="H48" s="30">
        <v>0</v>
      </c>
      <c r="I48" s="30">
        <v>0</v>
      </c>
      <c r="J48" s="32">
        <f t="shared" si="2"/>
        <v>13095</v>
      </c>
      <c r="K48" s="1"/>
      <c r="L48" s="1"/>
    </row>
    <row r="49" spans="1:12" ht="16.5">
      <c r="A49" s="16" t="s">
        <v>12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2">
        <f>333.58+139.31+120.84+23.19+51.54+228.84+25.23</f>
        <v>922.5300000000001</v>
      </c>
      <c r="K49" s="1"/>
      <c r="L49" s="1"/>
    </row>
    <row r="50" spans="1:12" ht="16.5">
      <c r="A50" s="16" t="s">
        <v>18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2">
        <f>50+50+50+50+200</f>
        <v>400</v>
      </c>
      <c r="K50" s="1"/>
      <c r="L50" s="1"/>
    </row>
    <row r="51" spans="1:12" ht="16.5">
      <c r="A51" s="38" t="s">
        <v>22</v>
      </c>
      <c r="B51" s="39">
        <v>0</v>
      </c>
      <c r="C51" s="39">
        <v>0</v>
      </c>
      <c r="D51" s="39">
        <v>0</v>
      </c>
      <c r="E51" s="39">
        <f>78000+260000</f>
        <v>338000</v>
      </c>
      <c r="F51" s="39">
        <v>0</v>
      </c>
      <c r="G51" s="39">
        <v>0</v>
      </c>
      <c r="H51" s="39">
        <v>0</v>
      </c>
      <c r="I51" s="39">
        <v>0</v>
      </c>
      <c r="J51" s="32">
        <f>SUM(B51:I51)</f>
        <v>338000</v>
      </c>
      <c r="K51" s="1"/>
      <c r="L51" s="1"/>
    </row>
    <row r="52" spans="1:12" ht="17.25" thickBot="1">
      <c r="A52" s="36" t="s">
        <v>10</v>
      </c>
      <c r="B52" s="23">
        <f>SUM(B17:B51)</f>
        <v>145933.8</v>
      </c>
      <c r="C52" s="23">
        <f aca="true" t="shared" si="5" ref="C52:I52">SUM(C17:C51)</f>
        <v>106304.32999999999</v>
      </c>
      <c r="D52" s="23">
        <f t="shared" si="5"/>
        <v>237341.82</v>
      </c>
      <c r="E52" s="23">
        <f>SUM(E17:E51)</f>
        <v>1022888.77</v>
      </c>
      <c r="F52" s="23">
        <f t="shared" si="5"/>
        <v>15450.289999999999</v>
      </c>
      <c r="G52" s="23">
        <f t="shared" si="5"/>
        <v>1721.41</v>
      </c>
      <c r="H52" s="23">
        <f t="shared" si="5"/>
        <v>139.95</v>
      </c>
      <c r="I52" s="23">
        <f t="shared" si="5"/>
        <v>0</v>
      </c>
      <c r="J52" s="32">
        <f>SUM(J17:J51)</f>
        <v>1531102.9000000001</v>
      </c>
      <c r="K52" s="1"/>
      <c r="L52" s="1"/>
    </row>
    <row r="53" spans="1:12" ht="17.25" thickBot="1">
      <c r="A53" s="37" t="s">
        <v>45</v>
      </c>
      <c r="B53" s="24">
        <f aca="true" t="shared" si="6" ref="B53:I53">B15+B52</f>
        <v>155408.9</v>
      </c>
      <c r="C53" s="24">
        <f t="shared" si="6"/>
        <v>125441.70999999999</v>
      </c>
      <c r="D53" s="24">
        <f t="shared" si="6"/>
        <v>258612.82</v>
      </c>
      <c r="E53" s="24">
        <f t="shared" si="6"/>
        <v>1221291.73</v>
      </c>
      <c r="F53" s="24">
        <f t="shared" si="6"/>
        <v>19356.01</v>
      </c>
      <c r="G53" s="24">
        <f t="shared" si="6"/>
        <v>1721.41</v>
      </c>
      <c r="H53" s="24">
        <f t="shared" si="6"/>
        <v>149.28</v>
      </c>
      <c r="I53" s="24">
        <f t="shared" si="6"/>
        <v>0</v>
      </c>
      <c r="J53" s="25">
        <f>SUM(J52+J15)</f>
        <v>1783304.3900000001</v>
      </c>
      <c r="K53" s="1"/>
      <c r="L53" s="17"/>
    </row>
    <row r="54" ht="16.5">
      <c r="J54" s="33"/>
    </row>
    <row r="55" spans="2:10" ht="16.5">
      <c r="B55" s="33"/>
      <c r="J55" s="33"/>
    </row>
    <row r="56" spans="2:10" ht="16.5">
      <c r="B56" s="33"/>
      <c r="F56" s="33"/>
      <c r="J56" s="33"/>
    </row>
  </sheetData>
  <sheetProtection password="C622" sheet="1"/>
  <mergeCells count="4">
    <mergeCell ref="A3:K3"/>
    <mergeCell ref="A4:K4"/>
    <mergeCell ref="A5:K5"/>
    <mergeCell ref="A7:J7"/>
  </mergeCells>
  <printOptions horizontalCentered="1"/>
  <pageMargins left="0.3937007874015748" right="0.11811023622047245" top="0.5905511811023623" bottom="0.5905511811023623" header="0.31496062992125984" footer="0.31496062992125984"/>
  <pageSetup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75" zoomScaleNormal="75" zoomScalePageLayoutView="0" workbookViewId="0" topLeftCell="A1">
      <pane ySplit="8" topLeftCell="A30" activePane="bottomLeft" state="frozen"/>
      <selection pane="topLeft" activeCell="A1" sqref="A1"/>
      <selection pane="bottomLeft" activeCell="E52" sqref="E52"/>
    </sheetView>
  </sheetViews>
  <sheetFormatPr defaultColWidth="9.140625" defaultRowHeight="15"/>
  <cols>
    <col min="1" max="1" width="89.57421875" style="7" customWidth="1"/>
    <col min="2" max="4" width="17.421875" style="7" customWidth="1"/>
    <col min="5" max="5" width="19.57421875" style="7" customWidth="1"/>
    <col min="6" max="6" width="16.140625" style="7" customWidth="1"/>
    <col min="7" max="7" width="14.57421875" style="7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9984</v>
      </c>
      <c r="D1" s="28">
        <v>10124</v>
      </c>
      <c r="E1" s="20" t="s">
        <v>16</v>
      </c>
      <c r="F1" s="56" t="s">
        <v>195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1597</v>
      </c>
      <c r="D2" s="8">
        <v>1633</v>
      </c>
      <c r="E2" s="20" t="s">
        <v>16</v>
      </c>
      <c r="F2" s="8"/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183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49.5">
      <c r="A8" s="21" t="s">
        <v>102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f>2667.4+214.2+430.5+294+588+457.8+457.8</f>
        <v>5109.700000000001</v>
      </c>
      <c r="C9" s="2">
        <f>5144.77+186.2+305.9+237.74+475.48+212.8+344.47</f>
        <v>6907.360000000001</v>
      </c>
      <c r="D9" s="2">
        <f>176</f>
        <v>176</v>
      </c>
      <c r="E9" s="2">
        <v>0</v>
      </c>
      <c r="F9" s="2">
        <f>865.8+673.4+1577.68+596.44+846.56</f>
        <v>4559.88</v>
      </c>
      <c r="G9" s="2">
        <f>3598.45</f>
        <v>3598.45</v>
      </c>
      <c r="H9" s="2">
        <v>0</v>
      </c>
      <c r="I9" s="2">
        <v>0</v>
      </c>
      <c r="J9" s="3">
        <f>SUM(B9:I9)</f>
        <v>20351.390000000003</v>
      </c>
      <c r="K9" s="1"/>
    </row>
    <row r="10" spans="1:11" ht="16.5">
      <c r="A10" s="29" t="s">
        <v>46</v>
      </c>
      <c r="B10" s="2">
        <v>0</v>
      </c>
      <c r="C10" s="2">
        <v>0</v>
      </c>
      <c r="D10" s="2">
        <v>0</v>
      </c>
      <c r="E10" s="2">
        <f>257004.03</f>
        <v>257004.03</v>
      </c>
      <c r="F10" s="2">
        <v>0</v>
      </c>
      <c r="G10" s="2">
        <v>0</v>
      </c>
      <c r="H10" s="2">
        <v>0</v>
      </c>
      <c r="I10" s="2">
        <v>0</v>
      </c>
      <c r="J10" s="3">
        <f>SUM(B10:I10)</f>
        <v>257004.03</v>
      </c>
      <c r="K10" s="1"/>
    </row>
    <row r="11" spans="1:11" ht="16.5">
      <c r="A11" s="21" t="s">
        <v>8</v>
      </c>
      <c r="B11" s="4">
        <f aca="true" t="shared" si="0" ref="B11:J11">SUM(B9:B10)</f>
        <v>5109.700000000001</v>
      </c>
      <c r="C11" s="4">
        <f t="shared" si="0"/>
        <v>6907.360000000001</v>
      </c>
      <c r="D11" s="4">
        <f t="shared" si="0"/>
        <v>176</v>
      </c>
      <c r="E11" s="40">
        <f t="shared" si="0"/>
        <v>257004.03</v>
      </c>
      <c r="F11" s="4">
        <f t="shared" si="0"/>
        <v>4559.88</v>
      </c>
      <c r="G11" s="4">
        <f t="shared" si="0"/>
        <v>3598.45</v>
      </c>
      <c r="H11" s="4">
        <f t="shared" si="0"/>
        <v>0</v>
      </c>
      <c r="I11" s="4">
        <f t="shared" si="0"/>
        <v>0</v>
      </c>
      <c r="J11" s="4">
        <f t="shared" si="0"/>
        <v>277355.42</v>
      </c>
      <c r="K11" s="15"/>
    </row>
    <row r="12" spans="1:11" ht="49.5">
      <c r="A12" s="21" t="s">
        <v>13</v>
      </c>
      <c r="B12" s="34" t="s">
        <v>0</v>
      </c>
      <c r="C12" s="34" t="s">
        <v>1</v>
      </c>
      <c r="D12" s="34" t="s">
        <v>2</v>
      </c>
      <c r="E12" s="34" t="s">
        <v>3</v>
      </c>
      <c r="F12" s="35" t="s">
        <v>4</v>
      </c>
      <c r="G12" s="35" t="s">
        <v>5</v>
      </c>
      <c r="H12" s="35" t="s">
        <v>6</v>
      </c>
      <c r="I12" s="35" t="s">
        <v>7</v>
      </c>
      <c r="J12" s="5" t="s">
        <v>14</v>
      </c>
      <c r="K12" s="1"/>
    </row>
    <row r="13" spans="1:11" ht="16.5">
      <c r="A13" s="6" t="s">
        <v>108</v>
      </c>
      <c r="B13" s="31">
        <f>1806.4</f>
        <v>1806.4</v>
      </c>
      <c r="C13" s="31">
        <f>22078+1682.45+72470.37+16118.6+12589.78+6750.42+11515.14</f>
        <v>143204.76</v>
      </c>
      <c r="D13" s="31">
        <f>8808+4404+1101+2202+8808+6606+4404</f>
        <v>36333</v>
      </c>
      <c r="E13" s="31">
        <f>567+1123+31</f>
        <v>1721</v>
      </c>
      <c r="F13" s="44">
        <f>500.24</f>
        <v>500.24</v>
      </c>
      <c r="G13" s="31">
        <f>83.74</f>
        <v>83.74</v>
      </c>
      <c r="H13" s="31">
        <v>0</v>
      </c>
      <c r="I13" s="31">
        <v>0</v>
      </c>
      <c r="J13" s="5">
        <f aca="true" t="shared" si="1" ref="J13:J19">SUM(B13:I13)</f>
        <v>183649.13999999998</v>
      </c>
      <c r="K13" s="1"/>
    </row>
    <row r="14" spans="1:12" ht="16.5">
      <c r="A14" s="29" t="s">
        <v>56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5">
        <f t="shared" si="1"/>
        <v>0</v>
      </c>
      <c r="K14" s="1"/>
      <c r="L14" s="1"/>
    </row>
    <row r="15" spans="1:12" ht="16.5">
      <c r="A15" s="29" t="s">
        <v>67</v>
      </c>
      <c r="B15" s="30">
        <v>0</v>
      </c>
      <c r="C15" s="30">
        <v>0</v>
      </c>
      <c r="D15" s="30">
        <v>0</v>
      </c>
      <c r="E15" s="30">
        <f>33826.14</f>
        <v>33826.14</v>
      </c>
      <c r="F15" s="30">
        <v>0</v>
      </c>
      <c r="G15" s="30">
        <v>0</v>
      </c>
      <c r="H15" s="30">
        <v>0</v>
      </c>
      <c r="I15" s="30">
        <v>0</v>
      </c>
      <c r="J15" s="5">
        <f t="shared" si="1"/>
        <v>33826.14</v>
      </c>
      <c r="K15" s="1"/>
      <c r="L15" s="1"/>
    </row>
    <row r="16" spans="1:12" ht="16.5">
      <c r="A16" s="29" t="s">
        <v>73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5">
        <f t="shared" si="1"/>
        <v>0</v>
      </c>
      <c r="K16" s="1"/>
      <c r="L16" s="1"/>
    </row>
    <row r="17" spans="1:12" ht="16.5">
      <c r="A17" s="29" t="s">
        <v>134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5">
        <f t="shared" si="1"/>
        <v>0</v>
      </c>
      <c r="K17" s="1"/>
      <c r="L17" s="1"/>
    </row>
    <row r="18" spans="1:12" ht="16.5">
      <c r="A18" s="29" t="s">
        <v>98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5">
        <f t="shared" si="1"/>
        <v>0</v>
      </c>
      <c r="K18" s="1"/>
      <c r="L18" s="1"/>
    </row>
    <row r="19" spans="1:12" ht="16.5">
      <c r="A19" s="29" t="s">
        <v>99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5">
        <f t="shared" si="1"/>
        <v>0</v>
      </c>
      <c r="K19" s="1"/>
      <c r="L19" s="1"/>
    </row>
    <row r="20" spans="1:12" ht="16.5">
      <c r="A20" s="47" t="s">
        <v>109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5">
        <f aca="true" t="shared" si="2" ref="J20:J26">SUM(B20:I20)</f>
        <v>0</v>
      </c>
      <c r="K20" s="1"/>
      <c r="L20" s="1"/>
    </row>
    <row r="21" spans="1:12" ht="16.5">
      <c r="A21" s="47" t="s">
        <v>113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5">
        <f t="shared" si="2"/>
        <v>0</v>
      </c>
      <c r="K21" s="1"/>
      <c r="L21" s="1"/>
    </row>
    <row r="22" spans="1:12" ht="16.5">
      <c r="A22" s="47" t="s">
        <v>115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5">
        <f t="shared" si="2"/>
        <v>0</v>
      </c>
      <c r="K22" s="1"/>
      <c r="L22" s="1"/>
    </row>
    <row r="23" spans="1:10" ht="16.5">
      <c r="A23" s="54" t="s">
        <v>119</v>
      </c>
      <c r="B23" s="42">
        <v>0</v>
      </c>
      <c r="C23" s="42">
        <v>0</v>
      </c>
      <c r="D23" s="42">
        <v>0</v>
      </c>
      <c r="E23" s="42">
        <f>9727.21</f>
        <v>9727.21</v>
      </c>
      <c r="F23" s="42">
        <v>0</v>
      </c>
      <c r="G23" s="42">
        <v>0</v>
      </c>
      <c r="H23" s="42">
        <v>0</v>
      </c>
      <c r="I23" s="42">
        <v>0</v>
      </c>
      <c r="J23" s="43">
        <f t="shared" si="2"/>
        <v>9727.21</v>
      </c>
    </row>
    <row r="24" spans="1:10" ht="16.5">
      <c r="A24" s="54" t="s">
        <v>124</v>
      </c>
      <c r="B24" s="42">
        <v>0</v>
      </c>
      <c r="C24" s="42">
        <v>0</v>
      </c>
      <c r="D24" s="42">
        <v>0</v>
      </c>
      <c r="E24" s="42">
        <f>2086.2</f>
        <v>2086.2</v>
      </c>
      <c r="F24" s="42">
        <v>0</v>
      </c>
      <c r="G24" s="42">
        <v>0</v>
      </c>
      <c r="H24" s="42">
        <v>0</v>
      </c>
      <c r="I24" s="42">
        <v>0</v>
      </c>
      <c r="J24" s="43">
        <f t="shared" si="2"/>
        <v>2086.2</v>
      </c>
    </row>
    <row r="25" spans="1:10" ht="16.5">
      <c r="A25" s="54" t="s">
        <v>144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3">
        <f t="shared" si="2"/>
        <v>0</v>
      </c>
    </row>
    <row r="26" spans="1:10" ht="16.5">
      <c r="A26" s="54" t="s">
        <v>145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3">
        <f t="shared" si="2"/>
        <v>0</v>
      </c>
    </row>
    <row r="27" spans="1:10" ht="16.5">
      <c r="A27" s="54" t="s">
        <v>154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3">
        <f aca="true" t="shared" si="3" ref="J27:J34">SUM(B27:I27)</f>
        <v>0</v>
      </c>
    </row>
    <row r="28" spans="1:10" ht="16.5">
      <c r="A28" s="54" t="s">
        <v>163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3">
        <f t="shared" si="3"/>
        <v>0</v>
      </c>
    </row>
    <row r="29" spans="1:10" ht="16.5">
      <c r="A29" s="54" t="s">
        <v>155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3">
        <f t="shared" si="3"/>
        <v>0</v>
      </c>
    </row>
    <row r="30" spans="1:10" ht="16.5">
      <c r="A30" s="54" t="s">
        <v>157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3">
        <f t="shared" si="3"/>
        <v>0</v>
      </c>
    </row>
    <row r="31" spans="1:10" ht="16.5">
      <c r="A31" s="58" t="s">
        <v>172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3">
        <f t="shared" si="3"/>
        <v>0</v>
      </c>
    </row>
    <row r="32" spans="1:10" ht="16.5">
      <c r="A32" s="54" t="s">
        <v>173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3">
        <f t="shared" si="3"/>
        <v>0</v>
      </c>
    </row>
    <row r="33" spans="1:10" ht="16.5">
      <c r="A33" s="54" t="s">
        <v>174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3">
        <f t="shared" si="3"/>
        <v>0</v>
      </c>
    </row>
    <row r="34" spans="1:10" ht="16.5">
      <c r="A34" s="54" t="s">
        <v>175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3">
        <f t="shared" si="3"/>
        <v>0</v>
      </c>
    </row>
    <row r="35" spans="1:10" ht="16.5">
      <c r="A35" s="54" t="s">
        <v>177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3">
        <f aca="true" t="shared" si="4" ref="J35:J44">SUM(B35:I35)</f>
        <v>0</v>
      </c>
    </row>
    <row r="36" spans="1:10" ht="16.5">
      <c r="A36" s="54" t="s">
        <v>180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3">
        <f t="shared" si="4"/>
        <v>0</v>
      </c>
    </row>
    <row r="37" spans="1:10" ht="16.5">
      <c r="A37" s="54" t="s">
        <v>181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3">
        <f t="shared" si="4"/>
        <v>0</v>
      </c>
    </row>
    <row r="38" spans="1:10" ht="16.5">
      <c r="A38" s="54" t="s">
        <v>182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3">
        <f t="shared" si="4"/>
        <v>0</v>
      </c>
    </row>
    <row r="39" spans="1:10" ht="16.5">
      <c r="A39" s="54" t="s">
        <v>185</v>
      </c>
      <c r="B39" s="42">
        <f>3014.19+2236.9</f>
        <v>5251.09</v>
      </c>
      <c r="C39" s="42">
        <f>14363.68+14787.61</f>
        <v>29151.29</v>
      </c>
      <c r="D39" s="42">
        <f>22025</f>
        <v>22025</v>
      </c>
      <c r="E39" s="42">
        <f>66.18+99</f>
        <v>165.18</v>
      </c>
      <c r="F39" s="42">
        <v>0</v>
      </c>
      <c r="G39" s="42">
        <v>0</v>
      </c>
      <c r="H39" s="42">
        <v>0</v>
      </c>
      <c r="I39" s="42">
        <v>0</v>
      </c>
      <c r="J39" s="43">
        <f t="shared" si="4"/>
        <v>56592.560000000005</v>
      </c>
    </row>
    <row r="40" spans="1:10" ht="16.5">
      <c r="A40" s="54" t="s">
        <v>186</v>
      </c>
      <c r="B40" s="42">
        <f>56</f>
        <v>56</v>
      </c>
      <c r="C40" s="42">
        <v>0</v>
      </c>
      <c r="D40" s="42">
        <f>176</f>
        <v>176</v>
      </c>
      <c r="E40" s="42">
        <f>35</f>
        <v>35</v>
      </c>
      <c r="F40" s="42">
        <v>0</v>
      </c>
      <c r="G40" s="42">
        <v>0</v>
      </c>
      <c r="H40" s="42">
        <v>0</v>
      </c>
      <c r="I40" s="42">
        <v>0</v>
      </c>
      <c r="J40" s="43">
        <f t="shared" si="4"/>
        <v>267</v>
      </c>
    </row>
    <row r="41" spans="1:10" ht="16.5">
      <c r="A41" s="54" t="s">
        <v>187</v>
      </c>
      <c r="B41" s="42">
        <f>112+5193.27</f>
        <v>5305.27</v>
      </c>
      <c r="C41" s="42">
        <f>28679.66</f>
        <v>28679.66</v>
      </c>
      <c r="D41" s="42">
        <f>176+65099.2</f>
        <v>65275.2</v>
      </c>
      <c r="E41" s="42">
        <v>0</v>
      </c>
      <c r="F41" s="42">
        <f>1346.8</f>
        <v>1346.8</v>
      </c>
      <c r="G41" s="42">
        <v>0</v>
      </c>
      <c r="H41" s="42">
        <v>0</v>
      </c>
      <c r="I41" s="42">
        <v>0</v>
      </c>
      <c r="J41" s="43">
        <f t="shared" si="4"/>
        <v>100606.93000000001</v>
      </c>
    </row>
    <row r="42" spans="1:10" ht="16.5">
      <c r="A42" s="54" t="s">
        <v>188</v>
      </c>
      <c r="B42" s="42">
        <f>4441.95+56</f>
        <v>4497.95</v>
      </c>
      <c r="C42" s="42">
        <f>11922.12</f>
        <v>11922.12</v>
      </c>
      <c r="D42" s="42">
        <f>39645+88</f>
        <v>39733</v>
      </c>
      <c r="E42" s="42"/>
      <c r="F42" s="42">
        <f>577.2</f>
        <v>577.2</v>
      </c>
      <c r="G42" s="42">
        <v>0</v>
      </c>
      <c r="H42" s="42">
        <v>0</v>
      </c>
      <c r="I42" s="42">
        <v>0</v>
      </c>
      <c r="J42" s="43">
        <f t="shared" si="4"/>
        <v>56730.27</v>
      </c>
    </row>
    <row r="43" spans="1:10" ht="16.5">
      <c r="A43" s="54" t="s">
        <v>189</v>
      </c>
      <c r="B43" s="42">
        <f>5182.38+56</f>
        <v>5238.38</v>
      </c>
      <c r="C43" s="42">
        <f>14962.5</f>
        <v>14962.5</v>
      </c>
      <c r="D43" s="42">
        <f>49190.8+88</f>
        <v>49278.8</v>
      </c>
      <c r="E43" s="42">
        <v>0</v>
      </c>
      <c r="F43" s="42">
        <f>1077.44</f>
        <v>1077.44</v>
      </c>
      <c r="G43" s="42">
        <v>0</v>
      </c>
      <c r="H43" s="42">
        <v>0</v>
      </c>
      <c r="I43" s="42">
        <v>0</v>
      </c>
      <c r="J43" s="43">
        <f t="shared" si="4"/>
        <v>70557.12000000001</v>
      </c>
    </row>
    <row r="44" spans="1:10" ht="16.5">
      <c r="A44" s="54" t="s">
        <v>190</v>
      </c>
      <c r="B44" s="42">
        <f>6585.3</f>
        <v>6585.3</v>
      </c>
      <c r="C44" s="42">
        <f>18952.5</f>
        <v>18952.5</v>
      </c>
      <c r="D44" s="42">
        <f>48455</f>
        <v>48455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3">
        <f t="shared" si="4"/>
        <v>73992.8</v>
      </c>
    </row>
    <row r="45" spans="1:12" ht="16.5">
      <c r="A45" s="29" t="s">
        <v>104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5">
        <f>SUM(B45:I45)</f>
        <v>0</v>
      </c>
      <c r="K45" s="1"/>
      <c r="L45" s="1"/>
    </row>
    <row r="46" spans="1:12" ht="16.5">
      <c r="A46" s="16" t="s">
        <v>26</v>
      </c>
      <c r="B46" s="30">
        <f>373045.37+5822.91+10782.05+8005.59</f>
        <v>397655.92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5">
        <f>SUM(B46:I46)</f>
        <v>397655.92</v>
      </c>
      <c r="K46" s="1"/>
      <c r="L46" s="1"/>
    </row>
    <row r="47" spans="1:12" ht="16.5">
      <c r="A47" s="22" t="s">
        <v>9</v>
      </c>
      <c r="B47" s="30">
        <f>168+112+280+56+56+112+56+56+112+112+224+224+56+56+56+56+422.1+355.6+56+56+471.1+56+56+168+56+224+56+56+56+56+56+56+56+168+112+56+448+56+56+56+112+168+56+112+112+56+224+112+56+112+56+56+56+336+112+112+56+56+56+56+280+112+112+56+56+336+56+168+168+168+56+56+56+112</f>
        <v>8920.8</v>
      </c>
      <c r="C47" s="30">
        <f>590.18+134.66+263.01+227.76+372.4+263.01+279.3+134.66+95.1+229.1+504.08+597.18+129.01+877.8+957.6+2097.41+320.86+227.76+129.01+205.49+190.86+134.66+134.66+212.8+93.1+95.1+410.98+129.01+263.01+93.1+73.15+93.1+290.47+134.66+69.16+227.76+134.66+263.01+133+39.9+942.32+134.66+1516.2+134.66+134.66+3753.26+263.01+345.14+129.01+227.76+134.66+134.66+317.86+397.01+279.3+66.5+129.01+134.66+134.66+129.01+950.29+186.2+258.02+134.66+155.81+134.66+2078.79+731.5+129.01+263.01+263.01+134.66+133+134.66+971.51+2428.58+212.13+258.02+535+291.8+133+134.66+134.66+134</f>
        <v>32210.17999999999</v>
      </c>
      <c r="D47" s="30">
        <f>352+264+528+176+264+968+88+88+176+176+352+352+88+176+88+88+88+88+88+88+88+88+88+264+352+792+88+88+264+88+176+88+88+88+528+176+88+704+88+176+176+176+528+264+88+440+264+88+352+176+88+176+88+88+88+528+176+176+176+88+176+528+616+528+88+176+176+88+528+88+264+264+264+88+88+88+352</f>
        <v>17600</v>
      </c>
      <c r="E47" s="30">
        <f>700+2765+455+105+217.5+2190+861+1837.5+717.5+1067.5+1137.5+367.5+385+350+420+647.5+6825+437.5+455+315+5775+3430+2450+2800+35+892.5+315+35+595</f>
        <v>38583.5</v>
      </c>
      <c r="F47" s="30">
        <f>153.92+18912.92+3155.36+38.48+269.36+211.64+134.68+96.2+1319.39+115.44+365.56</f>
        <v>24772.949999999997</v>
      </c>
      <c r="G47" s="30">
        <f>1997.91+528.1</f>
        <v>2526.01</v>
      </c>
      <c r="H47" s="30">
        <f>9.33+9.33+9.33+9.33+9.33+9.33+9.33+9.33+9.33+9.33+18.66+18.66+9.33</f>
        <v>139.95000000000002</v>
      </c>
      <c r="I47" s="30">
        <v>0</v>
      </c>
      <c r="J47" s="5">
        <f>SUM(B47:I47)</f>
        <v>124753.38999999997</v>
      </c>
      <c r="K47" s="1"/>
      <c r="L47" s="1"/>
    </row>
    <row r="48" spans="1:12" ht="16.5">
      <c r="A48" s="22" t="s">
        <v>105</v>
      </c>
      <c r="B48" s="30">
        <v>0</v>
      </c>
      <c r="C48" s="30">
        <v>0</v>
      </c>
      <c r="D48" s="30">
        <v>0</v>
      </c>
      <c r="E48" s="30">
        <f>4545+360+1440+4185+1890+6300+225</f>
        <v>18945</v>
      </c>
      <c r="F48" s="30">
        <v>0</v>
      </c>
      <c r="G48" s="30">
        <v>0</v>
      </c>
      <c r="H48" s="30">
        <v>0</v>
      </c>
      <c r="I48" s="30">
        <v>0</v>
      </c>
      <c r="J48" s="5">
        <f>SUM(B48:I48)</f>
        <v>18945</v>
      </c>
      <c r="K48" s="1"/>
      <c r="L48" s="1"/>
    </row>
    <row r="49" spans="1:12" ht="16.5">
      <c r="A49" s="22" t="s">
        <v>90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5">
        <f>SUM(B49:I49)</f>
        <v>0</v>
      </c>
      <c r="K49" s="1"/>
      <c r="L49" s="1"/>
    </row>
    <row r="50" spans="1:12" ht="16.5">
      <c r="A50" s="16" t="s">
        <v>106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5">
        <f>1122.51+37+33.17+0.4+1024.09+54.26+84.07+91.52</f>
        <v>2447.0200000000004</v>
      </c>
      <c r="K50" s="1"/>
      <c r="L50" s="1"/>
    </row>
    <row r="51" spans="1:12" ht="16.5">
      <c r="A51" s="16" t="s">
        <v>18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5">
        <f>500+250+500+500+50+100+210+500+88.72+50</f>
        <v>2748.72</v>
      </c>
      <c r="K51" s="1"/>
      <c r="L51" s="1"/>
    </row>
    <row r="52" spans="1:12" ht="16.5">
      <c r="A52" s="38" t="s">
        <v>22</v>
      </c>
      <c r="B52" s="39">
        <v>0</v>
      </c>
      <c r="C52" s="39">
        <v>0</v>
      </c>
      <c r="D52" s="39">
        <v>0</v>
      </c>
      <c r="E52" s="39">
        <f>78000+295100</f>
        <v>373100</v>
      </c>
      <c r="F52" s="39">
        <f>1386.93</f>
        <v>1386.93</v>
      </c>
      <c r="G52" s="39">
        <v>0</v>
      </c>
      <c r="H52" s="39">
        <v>0</v>
      </c>
      <c r="I52" s="39">
        <v>0</v>
      </c>
      <c r="J52" s="5">
        <f>SUM(B52:I52)</f>
        <v>374486.93</v>
      </c>
      <c r="K52" s="1"/>
      <c r="L52" s="1"/>
    </row>
    <row r="53" spans="1:12" ht="17.25" thickBot="1">
      <c r="A53" s="36" t="s">
        <v>10</v>
      </c>
      <c r="B53" s="23">
        <f aca="true" t="shared" si="5" ref="B53:H53">SUM(B13:B52)</f>
        <v>435317.11</v>
      </c>
      <c r="C53" s="23">
        <f t="shared" si="5"/>
        <v>279083.01</v>
      </c>
      <c r="D53" s="23">
        <f t="shared" si="5"/>
        <v>278876</v>
      </c>
      <c r="E53" s="23">
        <f t="shared" si="5"/>
        <v>478189.23</v>
      </c>
      <c r="F53" s="23">
        <f t="shared" si="5"/>
        <v>29661.559999999998</v>
      </c>
      <c r="G53" s="23">
        <f t="shared" si="5"/>
        <v>2609.75</v>
      </c>
      <c r="H53" s="23">
        <f t="shared" si="5"/>
        <v>139.95000000000002</v>
      </c>
      <c r="I53" s="23">
        <f>SUM(I14:I52)</f>
        <v>0</v>
      </c>
      <c r="J53" s="32">
        <f>SUM(J13:J52)</f>
        <v>1509072.3499999999</v>
      </c>
      <c r="K53" s="1"/>
      <c r="L53" s="1"/>
    </row>
    <row r="54" spans="1:12" ht="17.25" thickBot="1">
      <c r="A54" s="37" t="s">
        <v>184</v>
      </c>
      <c r="B54" s="24">
        <f aca="true" t="shared" si="6" ref="B54:I54">B11+B53</f>
        <v>440426.81</v>
      </c>
      <c r="C54" s="24">
        <f t="shared" si="6"/>
        <v>285990.37</v>
      </c>
      <c r="D54" s="24">
        <f t="shared" si="6"/>
        <v>279052</v>
      </c>
      <c r="E54" s="24">
        <f t="shared" si="6"/>
        <v>735193.26</v>
      </c>
      <c r="F54" s="24">
        <f t="shared" si="6"/>
        <v>34221.439999999995</v>
      </c>
      <c r="G54" s="24">
        <f t="shared" si="6"/>
        <v>6208.2</v>
      </c>
      <c r="H54" s="24">
        <f t="shared" si="6"/>
        <v>139.95000000000002</v>
      </c>
      <c r="I54" s="24">
        <f t="shared" si="6"/>
        <v>0</v>
      </c>
      <c r="J54" s="25">
        <f>SUM(J53+J11)</f>
        <v>1786427.7699999998</v>
      </c>
      <c r="K54" s="1"/>
      <c r="L54" s="17"/>
    </row>
    <row r="55" spans="2:10" ht="16.5">
      <c r="B55" s="45"/>
      <c r="C55" s="45"/>
      <c r="D55" s="45"/>
      <c r="E55" s="45"/>
      <c r="J55" s="57"/>
    </row>
    <row r="56" spans="2:10" ht="16.5">
      <c r="B56" s="45"/>
      <c r="C56" s="45"/>
      <c r="D56" s="45"/>
      <c r="E56" s="33"/>
      <c r="F56" s="33"/>
      <c r="J56" s="57"/>
    </row>
    <row r="57" spans="2:10" ht="16.5">
      <c r="B57" s="33"/>
      <c r="C57" s="33"/>
      <c r="D57" s="33"/>
      <c r="E57" s="33"/>
      <c r="F57" s="33"/>
      <c r="J57" s="33"/>
    </row>
    <row r="58" spans="4:10" ht="16.5">
      <c r="D58" s="33"/>
      <c r="J58" s="33"/>
    </row>
    <row r="61" ht="16.5">
      <c r="H61" s="33"/>
    </row>
  </sheetData>
  <sheetProtection password="C622" sheet="1"/>
  <mergeCells count="4">
    <mergeCell ref="A3:K3"/>
    <mergeCell ref="A4:K4"/>
    <mergeCell ref="A5:K5"/>
    <mergeCell ref="A7:J7"/>
  </mergeCells>
  <printOptions horizontalCentered="1" verticalCentered="1"/>
  <pageMargins left="0.3937007874015748" right="0.11811023622047245" top="0.3937007874015748" bottom="0.3937007874015748" header="0.31496062992125984" footer="0.31496062992125984"/>
  <pageSetup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showGridLines="0" zoomScale="75" zoomScaleNormal="75" zoomScalePageLayoutView="0" workbookViewId="0" topLeftCell="A1">
      <pane ySplit="12" topLeftCell="A29" activePane="bottomLeft" state="frozen"/>
      <selection pane="topLeft" activeCell="A1" sqref="A1"/>
      <selection pane="bottomLeft" activeCell="A38" sqref="A38"/>
    </sheetView>
  </sheetViews>
  <sheetFormatPr defaultColWidth="9.140625" defaultRowHeight="15"/>
  <cols>
    <col min="1" max="1" width="89.57421875" style="7" customWidth="1"/>
    <col min="2" max="4" width="17.421875" style="7" customWidth="1"/>
    <col min="5" max="5" width="19.57421875" style="7" customWidth="1"/>
    <col min="6" max="7" width="16.140625" style="7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10125</v>
      </c>
      <c r="D1" s="28">
        <v>10252</v>
      </c>
      <c r="E1" s="20" t="s">
        <v>16</v>
      </c>
      <c r="F1" s="56" t="s">
        <v>193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1634</v>
      </c>
      <c r="D2" s="8">
        <v>1666</v>
      </c>
      <c r="E2" s="20" t="s">
        <v>16</v>
      </c>
      <c r="F2" s="8">
        <v>1657</v>
      </c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191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33">
      <c r="A8" s="21" t="s">
        <v>102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f>457.8+56+4361.93+457.8+103.6+928.93+457.8</f>
        <v>6823.8600000000015</v>
      </c>
      <c r="C9" s="2">
        <f>425.6+260.67+4074.12+212.8+116.38+485.46+212.8</f>
        <v>5787.83</v>
      </c>
      <c r="D9" s="2">
        <f>88+88+88+176</f>
        <v>440</v>
      </c>
      <c r="E9" s="2">
        <v>0</v>
      </c>
      <c r="F9" s="2">
        <f>769.6+192.4+211.64+288.6</f>
        <v>1462.2399999999998</v>
      </c>
      <c r="G9" s="2">
        <f>998.56</f>
        <v>998.56</v>
      </c>
      <c r="H9" s="2">
        <f>55.98</f>
        <v>55.98</v>
      </c>
      <c r="I9" s="2">
        <v>0</v>
      </c>
      <c r="J9" s="3">
        <f>SUM(B9:I9)</f>
        <v>15568.470000000001</v>
      </c>
      <c r="K9" s="1"/>
    </row>
    <row r="10" spans="1:11" ht="16.5">
      <c r="A10" s="29" t="s">
        <v>46</v>
      </c>
      <c r="B10" s="2">
        <v>0</v>
      </c>
      <c r="C10" s="2">
        <v>0</v>
      </c>
      <c r="D10" s="2">
        <v>0</v>
      </c>
      <c r="E10" s="2">
        <f>350546.22</f>
        <v>350546.22</v>
      </c>
      <c r="F10" s="2">
        <v>0</v>
      </c>
      <c r="G10" s="2">
        <v>0</v>
      </c>
      <c r="H10" s="2">
        <v>0</v>
      </c>
      <c r="I10" s="2">
        <v>0</v>
      </c>
      <c r="J10" s="3">
        <f>SUM(B10:I10)</f>
        <v>350546.22</v>
      </c>
      <c r="K10" s="1"/>
    </row>
    <row r="11" spans="1:11" ht="16.5">
      <c r="A11" s="21" t="s">
        <v>8</v>
      </c>
      <c r="B11" s="4">
        <f aca="true" t="shared" si="0" ref="B11:J11">SUM(B9:B10)</f>
        <v>6823.8600000000015</v>
      </c>
      <c r="C11" s="4">
        <f t="shared" si="0"/>
        <v>5787.83</v>
      </c>
      <c r="D11" s="4">
        <f t="shared" si="0"/>
        <v>440</v>
      </c>
      <c r="E11" s="40">
        <f t="shared" si="0"/>
        <v>350546.22</v>
      </c>
      <c r="F11" s="4">
        <f t="shared" si="0"/>
        <v>1462.2399999999998</v>
      </c>
      <c r="G11" s="4">
        <f t="shared" si="0"/>
        <v>998.56</v>
      </c>
      <c r="H11" s="4">
        <f t="shared" si="0"/>
        <v>55.98</v>
      </c>
      <c r="I11" s="4">
        <f t="shared" si="0"/>
        <v>0</v>
      </c>
      <c r="J11" s="4">
        <f t="shared" si="0"/>
        <v>366114.68999999994</v>
      </c>
      <c r="K11" s="15"/>
    </row>
    <row r="12" spans="1:11" ht="33">
      <c r="A12" s="21" t="s">
        <v>13</v>
      </c>
      <c r="B12" s="34" t="s">
        <v>0</v>
      </c>
      <c r="C12" s="34" t="s">
        <v>1</v>
      </c>
      <c r="D12" s="34" t="s">
        <v>2</v>
      </c>
      <c r="E12" s="34" t="s">
        <v>3</v>
      </c>
      <c r="F12" s="35" t="s">
        <v>4</v>
      </c>
      <c r="G12" s="35" t="s">
        <v>5</v>
      </c>
      <c r="H12" s="35" t="s">
        <v>6</v>
      </c>
      <c r="I12" s="35" t="s">
        <v>7</v>
      </c>
      <c r="J12" s="5" t="s">
        <v>14</v>
      </c>
      <c r="K12" s="1"/>
    </row>
    <row r="13" spans="1:11" ht="16.5">
      <c r="A13" s="6" t="s">
        <v>108</v>
      </c>
      <c r="B13" s="31">
        <f>2261+112+198.8</f>
        <v>2571.8</v>
      </c>
      <c r="C13" s="31">
        <f>10275.58+1967.73+7324.31+14050.12+18899.3+2531.32+3291.75</f>
        <v>58340.10999999999</v>
      </c>
      <c r="D13" s="31">
        <f>8808+10085+15414+16515+4404+2202</f>
        <v>57428</v>
      </c>
      <c r="E13" s="31">
        <f>93+6951.09+280+11070.89</f>
        <v>18394.98</v>
      </c>
      <c r="F13" s="44">
        <f>634.92+288.6</f>
        <v>923.52</v>
      </c>
      <c r="G13" s="31">
        <f>1000</f>
        <v>1000</v>
      </c>
      <c r="H13" s="31">
        <v>0</v>
      </c>
      <c r="I13" s="31">
        <v>0</v>
      </c>
      <c r="J13" s="5">
        <f aca="true" t="shared" si="1" ref="J13:J19">SUM(B13:I13)</f>
        <v>138658.41</v>
      </c>
      <c r="K13" s="1"/>
    </row>
    <row r="14" spans="1:12" ht="16.5">
      <c r="A14" s="29" t="s">
        <v>56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5">
        <f t="shared" si="1"/>
        <v>0</v>
      </c>
      <c r="K14" s="1"/>
      <c r="L14" s="1"/>
    </row>
    <row r="15" spans="1:12" ht="16.5">
      <c r="A15" s="29" t="s">
        <v>67</v>
      </c>
      <c r="B15" s="30">
        <v>0</v>
      </c>
      <c r="C15" s="30">
        <v>0</v>
      </c>
      <c r="D15" s="30">
        <v>0</v>
      </c>
      <c r="E15" s="30">
        <f>40591.37+48709.64</f>
        <v>89301.01000000001</v>
      </c>
      <c r="F15" s="30">
        <v>0</v>
      </c>
      <c r="G15" s="30">
        <v>0</v>
      </c>
      <c r="H15" s="30">
        <v>0</v>
      </c>
      <c r="I15" s="30">
        <v>0</v>
      </c>
      <c r="J15" s="5">
        <f t="shared" si="1"/>
        <v>89301.01000000001</v>
      </c>
      <c r="K15" s="1"/>
      <c r="L15" s="1"/>
    </row>
    <row r="16" spans="1:12" ht="16.5">
      <c r="A16" s="29" t="s">
        <v>73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5">
        <f t="shared" si="1"/>
        <v>0</v>
      </c>
      <c r="K16" s="1"/>
      <c r="L16" s="1"/>
    </row>
    <row r="17" spans="1:12" ht="16.5">
      <c r="A17" s="29" t="s">
        <v>134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5">
        <f t="shared" si="1"/>
        <v>0</v>
      </c>
      <c r="K17" s="1"/>
      <c r="L17" s="1"/>
    </row>
    <row r="18" spans="1:12" ht="16.5">
      <c r="A18" s="29" t="s">
        <v>98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5">
        <f t="shared" si="1"/>
        <v>0</v>
      </c>
      <c r="K18" s="1"/>
      <c r="L18" s="1"/>
    </row>
    <row r="19" spans="1:12" ht="16.5">
      <c r="A19" s="29" t="s">
        <v>99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5">
        <f t="shared" si="1"/>
        <v>0</v>
      </c>
      <c r="K19" s="1"/>
      <c r="L19" s="1"/>
    </row>
    <row r="20" spans="1:12" ht="16.5">
      <c r="A20" s="47" t="s">
        <v>109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5">
        <f aca="true" t="shared" si="2" ref="J20:J26">SUM(B20:I20)</f>
        <v>0</v>
      </c>
      <c r="K20" s="1"/>
      <c r="L20" s="1"/>
    </row>
    <row r="21" spans="1:12" ht="16.5">
      <c r="A21" s="47" t="s">
        <v>113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5">
        <f t="shared" si="2"/>
        <v>0</v>
      </c>
      <c r="K21" s="1"/>
      <c r="L21" s="1"/>
    </row>
    <row r="22" spans="1:12" ht="16.5">
      <c r="A22" s="47" t="s">
        <v>115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5">
        <f t="shared" si="2"/>
        <v>0</v>
      </c>
      <c r="K22" s="1"/>
      <c r="L22" s="1"/>
    </row>
    <row r="23" spans="1:10" ht="16.5">
      <c r="A23" s="54" t="s">
        <v>119</v>
      </c>
      <c r="B23" s="42">
        <v>0</v>
      </c>
      <c r="C23" s="42">
        <v>0</v>
      </c>
      <c r="D23" s="42">
        <v>0</v>
      </c>
      <c r="E23" s="42">
        <f>1254.14+1504.97</f>
        <v>2759.11</v>
      </c>
      <c r="F23" s="42">
        <v>0</v>
      </c>
      <c r="G23" s="42">
        <v>0</v>
      </c>
      <c r="H23" s="42">
        <v>0</v>
      </c>
      <c r="I23" s="42">
        <v>0</v>
      </c>
      <c r="J23" s="43">
        <f t="shared" si="2"/>
        <v>2759.11</v>
      </c>
    </row>
    <row r="24" spans="1:10" ht="16.5">
      <c r="A24" s="54" t="s">
        <v>124</v>
      </c>
      <c r="B24" s="42">
        <v>0</v>
      </c>
      <c r="C24" s="42">
        <v>0</v>
      </c>
      <c r="D24" s="42">
        <v>0</v>
      </c>
      <c r="E24" s="42">
        <f>2503.44+3004.13</f>
        <v>5507.57</v>
      </c>
      <c r="F24" s="42">
        <v>0</v>
      </c>
      <c r="G24" s="42">
        <v>0</v>
      </c>
      <c r="H24" s="42">
        <v>0</v>
      </c>
      <c r="I24" s="42">
        <v>0</v>
      </c>
      <c r="J24" s="43">
        <f t="shared" si="2"/>
        <v>5507.57</v>
      </c>
    </row>
    <row r="25" spans="1:10" ht="16.5">
      <c r="A25" s="54" t="s">
        <v>144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3">
        <f t="shared" si="2"/>
        <v>0</v>
      </c>
    </row>
    <row r="26" spans="1:10" ht="16.5">
      <c r="A26" s="54" t="s">
        <v>145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3">
        <f t="shared" si="2"/>
        <v>0</v>
      </c>
    </row>
    <row r="27" spans="1:10" ht="16.5">
      <c r="A27" s="54" t="s">
        <v>154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3">
        <f aca="true" t="shared" si="3" ref="J27:J40">SUM(B27:I27)</f>
        <v>0</v>
      </c>
    </row>
    <row r="28" spans="1:10" ht="16.5">
      <c r="A28" s="54" t="s">
        <v>163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3">
        <f t="shared" si="3"/>
        <v>0</v>
      </c>
    </row>
    <row r="29" spans="1:10" ht="16.5">
      <c r="A29" s="54" t="s">
        <v>155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3">
        <f t="shared" si="3"/>
        <v>0</v>
      </c>
    </row>
    <row r="30" spans="1:10" ht="16.5">
      <c r="A30" s="54" t="s">
        <v>157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3">
        <f t="shared" si="3"/>
        <v>0</v>
      </c>
    </row>
    <row r="31" spans="1:10" ht="16.5">
      <c r="A31" s="58" t="s">
        <v>172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3">
        <f t="shared" si="3"/>
        <v>0</v>
      </c>
    </row>
    <row r="32" spans="1:10" ht="16.5">
      <c r="A32" s="54" t="s">
        <v>173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3">
        <f t="shared" si="3"/>
        <v>0</v>
      </c>
    </row>
    <row r="33" spans="1:10" ht="16.5">
      <c r="A33" s="54" t="s">
        <v>175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3">
        <f t="shared" si="3"/>
        <v>0</v>
      </c>
    </row>
    <row r="34" spans="1:10" ht="16.5">
      <c r="A34" s="54" t="s">
        <v>181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3">
        <f t="shared" si="3"/>
        <v>0</v>
      </c>
    </row>
    <row r="35" spans="1:10" ht="16.5">
      <c r="A35" s="54" t="s">
        <v>185</v>
      </c>
      <c r="B35" s="42">
        <v>0</v>
      </c>
      <c r="C35" s="42">
        <v>0</v>
      </c>
      <c r="D35" s="42">
        <v>0</v>
      </c>
      <c r="E35" s="42">
        <f>495+237.6</f>
        <v>732.6</v>
      </c>
      <c r="F35" s="42">
        <v>0</v>
      </c>
      <c r="G35" s="42">
        <v>0</v>
      </c>
      <c r="H35" s="42">
        <v>0</v>
      </c>
      <c r="I35" s="42">
        <v>0</v>
      </c>
      <c r="J35" s="43">
        <f t="shared" si="3"/>
        <v>732.6</v>
      </c>
    </row>
    <row r="36" spans="1:10" ht="16.5">
      <c r="A36" s="54" t="s">
        <v>196</v>
      </c>
      <c r="B36" s="42">
        <f>4476.6</f>
        <v>4476.6</v>
      </c>
      <c r="C36" s="42">
        <f>16282.86</f>
        <v>16282.86</v>
      </c>
      <c r="D36" s="42">
        <f>49924.26</f>
        <v>49924.26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3">
        <f>SUM(B36:I36)</f>
        <v>70683.72</v>
      </c>
    </row>
    <row r="37" spans="1:10" ht="16.5">
      <c r="A37" s="54" t="s">
        <v>197</v>
      </c>
      <c r="B37" s="42">
        <f>56+3575.34</f>
        <v>3631.34</v>
      </c>
      <c r="C37" s="42">
        <f>15683.69</f>
        <v>15683.69</v>
      </c>
      <c r="D37" s="42">
        <f>88+55797.32</f>
        <v>55885.32</v>
      </c>
      <c r="E37" s="42">
        <v>0</v>
      </c>
      <c r="F37" s="42">
        <f>1539.2</f>
        <v>1539.2</v>
      </c>
      <c r="G37" s="42">
        <v>0</v>
      </c>
      <c r="H37" s="42">
        <v>0</v>
      </c>
      <c r="I37" s="42">
        <v>0</v>
      </c>
      <c r="J37" s="43">
        <f>SUM(B37:I37)</f>
        <v>76739.55</v>
      </c>
    </row>
    <row r="38" spans="1:10" ht="16.5">
      <c r="A38" s="54" t="s">
        <v>198</v>
      </c>
      <c r="B38" s="42">
        <f>4679.37</f>
        <v>4679.37</v>
      </c>
      <c r="C38" s="42">
        <f>27782.37</f>
        <v>27782.37</v>
      </c>
      <c r="D38" s="42">
        <f>90060.32</f>
        <v>90060.32</v>
      </c>
      <c r="E38" s="42">
        <f>16963.37+19599.56</f>
        <v>36562.93</v>
      </c>
      <c r="F38" s="42">
        <v>962</v>
      </c>
      <c r="G38" s="42">
        <v>0</v>
      </c>
      <c r="H38" s="42">
        <v>0</v>
      </c>
      <c r="I38" s="42">
        <v>0</v>
      </c>
      <c r="J38" s="43">
        <f>SUM(B38:I38)</f>
        <v>160046.99</v>
      </c>
    </row>
    <row r="39" spans="1:10" ht="16.5">
      <c r="A39" s="54" t="s">
        <v>199</v>
      </c>
      <c r="B39" s="42">
        <f>5305.59</f>
        <v>5305.59</v>
      </c>
      <c r="C39" s="42">
        <f>12771.99</f>
        <v>12771.99</v>
      </c>
      <c r="D39" s="42">
        <f>35240</f>
        <v>35240</v>
      </c>
      <c r="E39" s="42">
        <f>8630.91+12946.36</f>
        <v>21577.27</v>
      </c>
      <c r="F39" s="42">
        <v>1924</v>
      </c>
      <c r="G39" s="42">
        <v>0</v>
      </c>
      <c r="H39" s="42">
        <v>0</v>
      </c>
      <c r="I39" s="42">
        <v>0</v>
      </c>
      <c r="J39" s="43">
        <f>SUM(B39:I39)</f>
        <v>76818.85</v>
      </c>
    </row>
    <row r="40" spans="1:10" ht="16.5">
      <c r="A40" s="54" t="s">
        <v>200</v>
      </c>
      <c r="B40" s="42">
        <f>1</f>
        <v>1</v>
      </c>
      <c r="C40" s="42">
        <f>31792.32</f>
        <v>31792.32</v>
      </c>
      <c r="D40" s="42">
        <f>4</f>
        <v>4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3">
        <f t="shared" si="3"/>
        <v>31797.32</v>
      </c>
    </row>
    <row r="41" spans="1:12" ht="16.5">
      <c r="A41" s="29" t="s">
        <v>194</v>
      </c>
      <c r="B41" s="30">
        <f>2597.48+2199+2597.48+2597.48+3452+2597.48+2326.84+2597.48+2597.48+3624.26+3452</f>
        <v>30638.979999999996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5">
        <f>SUM(B41:I41)</f>
        <v>30638.979999999996</v>
      </c>
      <c r="K41" s="1"/>
      <c r="L41" s="1"/>
    </row>
    <row r="42" spans="1:12" ht="16.5">
      <c r="A42" s="16" t="s">
        <v>26</v>
      </c>
      <c r="B42" s="30">
        <f>5935.14</f>
        <v>5935.14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5">
        <f>SUM(B42:I42)</f>
        <v>5935.14</v>
      </c>
      <c r="K42" s="1"/>
      <c r="L42" s="1"/>
    </row>
    <row r="43" spans="1:12" ht="16.5">
      <c r="A43" s="22" t="s">
        <v>9</v>
      </c>
      <c r="B43" s="30">
        <f>448+56+56+56+56+56+56+56+2657.73+112+56+56+112+56+56+56+336+168+56+56+168+56+56+56+56+168+422.1+232.4+56+168+323.4+224+56+56+168+336+112+56+56+56+112+56+56+56+56+112+1611.46+200.2+112+56+56+168+56+56+56+112+56</f>
        <v>10487.29</v>
      </c>
      <c r="C43" s="30">
        <f>547.83+108.73+134.66+65.83+129.01+134+602.02+134+777.66+108.73+108.73+134.66+263.01+134.66+129.01+134+801.34+263.01+129.01+134.66+690.8+77.47+131.14+134.66+4296.17+5961.06+292.6+326.19+205.49+253.7+129.01+345.13+291.94+269.32+145.9+206.28+302.97+397.01+129.01+145.9+131.14+134.66+145.9+131.14+3311.7+74.48+69.16+131.14+134+983.54+140.45+291.8+130.34+304.57+181.62+108.73+145.9+65.17+278.9+131.14</f>
        <v>26731.789999999997</v>
      </c>
      <c r="D43" s="30">
        <f>704+88+264+88+88+88+88+176+88+176+88+88+176+88+88+88+528+352+88+88+264+176+264+88+88+176+264+88+176+88+88+176+440+88+88+264+880+176+88+88+88+176+88+176+88+88+176+264+264+88+176+88+88+264+88+88+88+176+264</f>
        <v>10384</v>
      </c>
      <c r="E43" s="30">
        <f>245+315+35+35+560+455+882+350+525+35+630+472.5+315+3234+70+1190+17325+70</f>
        <v>26743.5</v>
      </c>
      <c r="F43" s="30">
        <f>96.2+288.6+134.68+6945.64+461.76+38.48+211.64+288.6+1609.12</f>
        <v>10074.720000000001</v>
      </c>
      <c r="G43" s="30">
        <f>6000+2044.52+731.73</f>
        <v>8776.25</v>
      </c>
      <c r="H43" s="30">
        <f>9.33+9.33+18.66+9.33+9.33+9.33+9.33+9.33+9.33+9.33+9.33+102.63</f>
        <v>214.58999999999997</v>
      </c>
      <c r="I43" s="30">
        <v>0</v>
      </c>
      <c r="J43" s="5">
        <f>SUM(B43:I43)</f>
        <v>93412.14</v>
      </c>
      <c r="K43" s="1"/>
      <c r="L43" s="1"/>
    </row>
    <row r="44" spans="1:12" ht="16.5">
      <c r="A44" s="22" t="s">
        <v>105</v>
      </c>
      <c r="B44" s="30">
        <v>0</v>
      </c>
      <c r="C44" s="30">
        <v>0</v>
      </c>
      <c r="D44" s="30">
        <v>0</v>
      </c>
      <c r="E44" s="30">
        <f>4545+360+1440+3600+2115+6300+225</f>
        <v>18585</v>
      </c>
      <c r="F44" s="30">
        <v>0</v>
      </c>
      <c r="G44" s="30">
        <v>0</v>
      </c>
      <c r="H44" s="30">
        <v>0</v>
      </c>
      <c r="I44" s="30">
        <v>0</v>
      </c>
      <c r="J44" s="5">
        <f>SUM(B44:I44)</f>
        <v>18585</v>
      </c>
      <c r="K44" s="1"/>
      <c r="L44" s="1"/>
    </row>
    <row r="45" spans="1:12" ht="16.5">
      <c r="A45" s="22" t="s">
        <v>90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5">
        <f>SUM(B45:I45)</f>
        <v>0</v>
      </c>
      <c r="K45" s="1"/>
      <c r="L45" s="1"/>
    </row>
    <row r="46" spans="1:12" ht="16.5">
      <c r="A46" s="16" t="s">
        <v>106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5">
        <f>1050.45+158.91+290.52+291.81</f>
        <v>1791.69</v>
      </c>
      <c r="K46" s="1"/>
      <c r="L46" s="1"/>
    </row>
    <row r="47" spans="1:12" ht="16.5">
      <c r="A47" s="16" t="s">
        <v>18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5">
        <f>50+88.72+50+50+50+500</f>
        <v>788.72</v>
      </c>
      <c r="K47" s="1"/>
      <c r="L47" s="1"/>
    </row>
    <row r="48" spans="1:12" ht="16.5">
      <c r="A48" s="38" t="s">
        <v>22</v>
      </c>
      <c r="B48" s="39">
        <v>0</v>
      </c>
      <c r="C48" s="39">
        <v>0</v>
      </c>
      <c r="D48" s="39">
        <v>0</v>
      </c>
      <c r="E48" s="39">
        <f>78000+295100</f>
        <v>373100</v>
      </c>
      <c r="F48" s="39">
        <f>1401.29</f>
        <v>1401.29</v>
      </c>
      <c r="G48" s="39">
        <f>241.95+315.69</f>
        <v>557.64</v>
      </c>
      <c r="H48" s="39">
        <v>0</v>
      </c>
      <c r="I48" s="39">
        <v>0</v>
      </c>
      <c r="J48" s="5">
        <f>SUM(B48:I48)</f>
        <v>375058.93</v>
      </c>
      <c r="K48" s="1"/>
      <c r="L48" s="1"/>
    </row>
    <row r="49" spans="1:12" ht="17.25" thickBot="1">
      <c r="A49" s="36" t="s">
        <v>10</v>
      </c>
      <c r="B49" s="23">
        <f aca="true" t="shared" si="4" ref="B49:H49">SUM(B13:B48)</f>
        <v>67727.10999999999</v>
      </c>
      <c r="C49" s="23">
        <f t="shared" si="4"/>
        <v>189385.13</v>
      </c>
      <c r="D49" s="23">
        <f t="shared" si="4"/>
        <v>298925.9</v>
      </c>
      <c r="E49" s="23">
        <f t="shared" si="4"/>
        <v>593263.97</v>
      </c>
      <c r="F49" s="23">
        <f t="shared" si="4"/>
        <v>16824.730000000003</v>
      </c>
      <c r="G49" s="23">
        <f t="shared" si="4"/>
        <v>10333.89</v>
      </c>
      <c r="H49" s="23">
        <f t="shared" si="4"/>
        <v>214.58999999999997</v>
      </c>
      <c r="I49" s="23">
        <f>SUM(I14:I48)</f>
        <v>0</v>
      </c>
      <c r="J49" s="32">
        <f>SUM(J13:J48)</f>
        <v>1179255.7299999997</v>
      </c>
      <c r="K49" s="1"/>
      <c r="L49" s="1"/>
    </row>
    <row r="50" spans="1:12" ht="17.25" thickBot="1">
      <c r="A50" s="37" t="s">
        <v>192</v>
      </c>
      <c r="B50" s="24">
        <f aca="true" t="shared" si="5" ref="B50:I50">B11+B49</f>
        <v>74550.96999999999</v>
      </c>
      <c r="C50" s="24">
        <f t="shared" si="5"/>
        <v>195172.96</v>
      </c>
      <c r="D50" s="24">
        <f t="shared" si="5"/>
        <v>299365.9</v>
      </c>
      <c r="E50" s="24">
        <f t="shared" si="5"/>
        <v>943810.19</v>
      </c>
      <c r="F50" s="24">
        <f t="shared" si="5"/>
        <v>18286.97</v>
      </c>
      <c r="G50" s="24">
        <f t="shared" si="5"/>
        <v>11332.449999999999</v>
      </c>
      <c r="H50" s="24">
        <f t="shared" si="5"/>
        <v>270.57</v>
      </c>
      <c r="I50" s="24">
        <f t="shared" si="5"/>
        <v>0</v>
      </c>
      <c r="J50" s="25">
        <f>SUM(J49+J11)</f>
        <v>1545370.4199999997</v>
      </c>
      <c r="K50" s="1"/>
      <c r="L50" s="17"/>
    </row>
    <row r="51" spans="2:10" ht="16.5">
      <c r="B51" s="45"/>
      <c r="C51" s="45"/>
      <c r="D51" s="45"/>
      <c r="E51" s="45"/>
      <c r="J51" s="57"/>
    </row>
    <row r="52" spans="2:10" ht="16.5">
      <c r="B52" s="45"/>
      <c r="C52" s="45"/>
      <c r="D52" s="45"/>
      <c r="E52" s="33"/>
      <c r="F52" s="33"/>
      <c r="J52" s="57"/>
    </row>
    <row r="53" spans="2:10" ht="16.5">
      <c r="B53" s="33"/>
      <c r="C53" s="33"/>
      <c r="D53" s="33"/>
      <c r="E53" s="33"/>
      <c r="F53" s="33"/>
      <c r="J53" s="33"/>
    </row>
    <row r="54" spans="4:10" ht="16.5">
      <c r="D54" s="33"/>
      <c r="J54" s="33"/>
    </row>
    <row r="57" ht="16.5">
      <c r="H57" s="33"/>
    </row>
  </sheetData>
  <sheetProtection/>
  <mergeCells count="4">
    <mergeCell ref="A3:K3"/>
    <mergeCell ref="A4:K4"/>
    <mergeCell ref="A5:K5"/>
    <mergeCell ref="A7:J7"/>
  </mergeCells>
  <printOptions horizontalCentered="1"/>
  <pageMargins left="0.3937007874015748" right="0.11811023622047245" top="1.1811023622047245" bottom="0.3937007874015748" header="0.31496062992125984" footer="0.31496062992125984"/>
  <pageSetup horizontalDpi="600" verticalDpi="60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2"/>
  <sheetViews>
    <sheetView showGridLines="0" tabSelected="1" zoomScale="75" zoomScaleNormal="75" zoomScalePageLayoutView="0" workbookViewId="0" topLeftCell="A1">
      <pane ySplit="12" topLeftCell="A52" activePane="bottomLeft" state="frozen"/>
      <selection pane="topLeft" activeCell="A1" sqref="A1"/>
      <selection pane="bottomLeft" activeCell="H58" sqref="H58"/>
    </sheetView>
  </sheetViews>
  <sheetFormatPr defaultColWidth="9.140625" defaultRowHeight="15"/>
  <cols>
    <col min="1" max="1" width="89.57421875" style="7" customWidth="1"/>
    <col min="2" max="4" width="17.421875" style="7" customWidth="1"/>
    <col min="5" max="5" width="19.57421875" style="7" customWidth="1"/>
    <col min="6" max="7" width="16.140625" style="7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10253</v>
      </c>
      <c r="D1" s="28">
        <v>10444</v>
      </c>
      <c r="E1" s="20" t="s">
        <v>16</v>
      </c>
      <c r="F1" s="56" t="s">
        <v>209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1667</v>
      </c>
      <c r="D2" s="8">
        <v>1694</v>
      </c>
      <c r="E2" s="20" t="s">
        <v>16</v>
      </c>
      <c r="F2" s="8"/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201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33">
      <c r="A8" s="21" t="s">
        <v>102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f>294+189+457.8+172.2+1034.53+112+457.8+294+596.4+172.2+488.6+326.2+172.2+457.8+294</f>
        <v>5518.73</v>
      </c>
      <c r="C9" s="2">
        <f>475.48+1763.85+212.8+131.67+16022.84+393.67+212.8+237.74+403.98+131.67+7780.5+9621.22+371.2+345.8+395.68+10259.62+131.67+237.74+11735.92+7025.06+212.8+237.74+6253.66</f>
        <v>74595.11</v>
      </c>
      <c r="D9" s="2">
        <f>4404+88+13212+176+8808+8808+6606+88+3303+6606+88+88</f>
        <v>52275</v>
      </c>
      <c r="E9" s="2">
        <f>101+560+11205.01+210</f>
        <v>12076.01</v>
      </c>
      <c r="F9" s="2">
        <f>904.28+519.48+750.36</f>
        <v>2174.12</v>
      </c>
      <c r="G9" s="2">
        <f>1000</f>
        <v>1000</v>
      </c>
      <c r="H9" s="2">
        <v>0</v>
      </c>
      <c r="I9" s="2">
        <v>0</v>
      </c>
      <c r="J9" s="3">
        <f>SUM(B9:I9)</f>
        <v>147638.97</v>
      </c>
      <c r="K9" s="1"/>
    </row>
    <row r="10" spans="1:11" ht="16.5">
      <c r="A10" s="29" t="s">
        <v>46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3">
        <f>SUM(B10:I10)</f>
        <v>0</v>
      </c>
      <c r="K10" s="1"/>
    </row>
    <row r="11" spans="1:11" ht="16.5">
      <c r="A11" s="21" t="s">
        <v>8</v>
      </c>
      <c r="B11" s="4">
        <f aca="true" t="shared" si="0" ref="B11:I11">SUM(B9:B10)</f>
        <v>5518.73</v>
      </c>
      <c r="C11" s="4">
        <f>SUM(C9:C10)</f>
        <v>74595.11</v>
      </c>
      <c r="D11" s="4">
        <f t="shared" si="0"/>
        <v>52275</v>
      </c>
      <c r="E11" s="40">
        <f t="shared" si="0"/>
        <v>12076.01</v>
      </c>
      <c r="F11" s="4">
        <f t="shared" si="0"/>
        <v>2174.12</v>
      </c>
      <c r="G11" s="4">
        <f t="shared" si="0"/>
        <v>1000</v>
      </c>
      <c r="H11" s="4">
        <f t="shared" si="0"/>
        <v>0</v>
      </c>
      <c r="I11" s="4">
        <f t="shared" si="0"/>
        <v>0</v>
      </c>
      <c r="J11" s="4">
        <f>SUM(J9:J10)</f>
        <v>147638.97</v>
      </c>
      <c r="K11" s="15"/>
    </row>
    <row r="12" spans="1:11" ht="33">
      <c r="A12" s="21" t="s">
        <v>13</v>
      </c>
      <c r="B12" s="34" t="s">
        <v>0</v>
      </c>
      <c r="C12" s="34" t="s">
        <v>1</v>
      </c>
      <c r="D12" s="34" t="s">
        <v>2</v>
      </c>
      <c r="E12" s="34" t="s">
        <v>3</v>
      </c>
      <c r="F12" s="35" t="s">
        <v>4</v>
      </c>
      <c r="G12" s="35" t="s">
        <v>5</v>
      </c>
      <c r="H12" s="35" t="s">
        <v>6</v>
      </c>
      <c r="I12" s="35" t="s">
        <v>7</v>
      </c>
      <c r="J12" s="5" t="s">
        <v>14</v>
      </c>
      <c r="K12" s="1"/>
    </row>
    <row r="13" spans="1:12" ht="16.5">
      <c r="A13" s="29" t="s">
        <v>56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5">
        <f aca="true" t="shared" si="1" ref="J13:J18">SUM(B13:I13)</f>
        <v>0</v>
      </c>
      <c r="K13" s="1"/>
      <c r="L13" s="1"/>
    </row>
    <row r="14" spans="1:12" ht="16.5">
      <c r="A14" s="29" t="s">
        <v>67</v>
      </c>
      <c r="B14" s="30">
        <v>0</v>
      </c>
      <c r="C14" s="30">
        <v>0</v>
      </c>
      <c r="D14" s="30">
        <v>0</v>
      </c>
      <c r="E14" s="30">
        <f>10111.14</f>
        <v>10111.14</v>
      </c>
      <c r="F14" s="30">
        <v>0</v>
      </c>
      <c r="G14" s="30">
        <v>0</v>
      </c>
      <c r="H14" s="30">
        <v>0</v>
      </c>
      <c r="I14" s="30">
        <v>0</v>
      </c>
      <c r="J14" s="5">
        <f t="shared" si="1"/>
        <v>10111.14</v>
      </c>
      <c r="K14" s="1"/>
      <c r="L14" s="1"/>
    </row>
    <row r="15" spans="1:12" ht="16.5">
      <c r="A15" s="29" t="s">
        <v>73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5">
        <f t="shared" si="1"/>
        <v>0</v>
      </c>
      <c r="K15" s="1"/>
      <c r="L15" s="1"/>
    </row>
    <row r="16" spans="1:12" ht="16.5">
      <c r="A16" s="29" t="s">
        <v>134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5">
        <f t="shared" si="1"/>
        <v>0</v>
      </c>
      <c r="K16" s="1"/>
      <c r="L16" s="1"/>
    </row>
    <row r="17" spans="1:12" ht="16.5">
      <c r="A17" s="29" t="s">
        <v>98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5">
        <f t="shared" si="1"/>
        <v>0</v>
      </c>
      <c r="K17" s="1"/>
      <c r="L17" s="1"/>
    </row>
    <row r="18" spans="1:12" ht="16.5">
      <c r="A18" s="29" t="s">
        <v>99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5">
        <f t="shared" si="1"/>
        <v>0</v>
      </c>
      <c r="K18" s="1"/>
      <c r="L18" s="1"/>
    </row>
    <row r="19" spans="1:12" ht="16.5">
      <c r="A19" s="47" t="s">
        <v>109</v>
      </c>
      <c r="B19" s="30">
        <v>0</v>
      </c>
      <c r="C19" s="30">
        <v>0</v>
      </c>
      <c r="D19" s="30">
        <v>0</v>
      </c>
      <c r="E19" s="30">
        <f>487.23</f>
        <v>487.23</v>
      </c>
      <c r="F19" s="30">
        <v>0</v>
      </c>
      <c r="G19" s="30">
        <v>0</v>
      </c>
      <c r="H19" s="30">
        <v>0</v>
      </c>
      <c r="I19" s="30">
        <v>0</v>
      </c>
      <c r="J19" s="5">
        <f aca="true" t="shared" si="2" ref="J19:J25">SUM(B19:I19)</f>
        <v>487.23</v>
      </c>
      <c r="K19" s="1"/>
      <c r="L19" s="1"/>
    </row>
    <row r="20" spans="1:12" ht="16.5">
      <c r="A20" s="47" t="s">
        <v>113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5">
        <f t="shared" si="2"/>
        <v>0</v>
      </c>
      <c r="K20" s="1"/>
      <c r="L20" s="1"/>
    </row>
    <row r="21" spans="1:12" ht="16.5">
      <c r="A21" s="47" t="s">
        <v>115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5">
        <f t="shared" si="2"/>
        <v>0</v>
      </c>
      <c r="K21" s="1"/>
      <c r="L21" s="1"/>
    </row>
    <row r="22" spans="1:10" ht="16.5">
      <c r="A22" s="54" t="s">
        <v>119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3">
        <f t="shared" si="2"/>
        <v>0</v>
      </c>
    </row>
    <row r="23" spans="1:10" ht="16.5">
      <c r="A23" s="54" t="s">
        <v>124</v>
      </c>
      <c r="B23" s="42">
        <v>0</v>
      </c>
      <c r="C23" s="42">
        <v>0</v>
      </c>
      <c r="D23" s="42">
        <v>0</v>
      </c>
      <c r="E23" s="42">
        <f>3604.96</f>
        <v>3604.96</v>
      </c>
      <c r="F23" s="42">
        <v>0</v>
      </c>
      <c r="G23" s="42">
        <v>0</v>
      </c>
      <c r="H23" s="42">
        <v>0</v>
      </c>
      <c r="I23" s="42">
        <v>0</v>
      </c>
      <c r="J23" s="43">
        <f t="shared" si="2"/>
        <v>3604.96</v>
      </c>
    </row>
    <row r="24" spans="1:10" ht="16.5">
      <c r="A24" s="54" t="s">
        <v>144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3">
        <f t="shared" si="2"/>
        <v>0</v>
      </c>
    </row>
    <row r="25" spans="1:10" ht="16.5">
      <c r="A25" s="54" t="s">
        <v>145</v>
      </c>
      <c r="B25" s="42">
        <v>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3">
        <f t="shared" si="2"/>
        <v>0</v>
      </c>
    </row>
    <row r="26" spans="1:10" ht="16.5">
      <c r="A26" s="54" t="s">
        <v>154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3">
        <f aca="true" t="shared" si="3" ref="J26:J39">SUM(B26:I26)</f>
        <v>0</v>
      </c>
    </row>
    <row r="27" spans="1:10" ht="16.5">
      <c r="A27" s="54" t="s">
        <v>163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3">
        <f t="shared" si="3"/>
        <v>0</v>
      </c>
    </row>
    <row r="28" spans="1:10" ht="16.5">
      <c r="A28" s="54" t="s">
        <v>155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3">
        <f t="shared" si="3"/>
        <v>0</v>
      </c>
    </row>
    <row r="29" spans="1:10" ht="16.5">
      <c r="A29" s="54" t="s">
        <v>157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3">
        <f t="shared" si="3"/>
        <v>0</v>
      </c>
    </row>
    <row r="30" spans="1:10" ht="16.5">
      <c r="A30" s="58" t="s">
        <v>172</v>
      </c>
      <c r="B30" s="42">
        <v>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3">
        <f t="shared" si="3"/>
        <v>0</v>
      </c>
    </row>
    <row r="31" spans="1:10" ht="16.5">
      <c r="A31" s="54" t="s">
        <v>173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3">
        <f t="shared" si="3"/>
        <v>0</v>
      </c>
    </row>
    <row r="32" spans="1:10" ht="16.5">
      <c r="A32" s="54" t="s">
        <v>175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3">
        <f t="shared" si="3"/>
        <v>0</v>
      </c>
    </row>
    <row r="33" spans="1:10" ht="16.5">
      <c r="A33" s="54" t="s">
        <v>181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3">
        <f t="shared" si="3"/>
        <v>0</v>
      </c>
    </row>
    <row r="34" spans="1:10" ht="16.5">
      <c r="A34" s="54" t="s">
        <v>185</v>
      </c>
      <c r="B34" s="42">
        <v>0</v>
      </c>
      <c r="C34" s="42">
        <v>0</v>
      </c>
      <c r="D34" s="42">
        <v>0</v>
      </c>
      <c r="E34" s="42">
        <f>133.92</f>
        <v>133.92</v>
      </c>
      <c r="F34" s="42">
        <v>0</v>
      </c>
      <c r="G34" s="42">
        <v>0</v>
      </c>
      <c r="H34" s="42">
        <v>0</v>
      </c>
      <c r="I34" s="42">
        <v>0</v>
      </c>
      <c r="J34" s="43">
        <f t="shared" si="3"/>
        <v>133.92</v>
      </c>
    </row>
    <row r="35" spans="1:10" ht="16.5">
      <c r="A35" s="54" t="s">
        <v>196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3">
        <f>SUM(B35:I35)</f>
        <v>0</v>
      </c>
    </row>
    <row r="36" spans="1:10" ht="16.5">
      <c r="A36" s="54" t="s">
        <v>197</v>
      </c>
      <c r="B36" s="42">
        <v>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3">
        <f>SUM(B36:I36)</f>
        <v>0</v>
      </c>
    </row>
    <row r="37" spans="1:10" ht="16.5">
      <c r="A37" s="54" t="s">
        <v>198</v>
      </c>
      <c r="B37" s="42">
        <v>0</v>
      </c>
      <c r="C37" s="42">
        <v>0</v>
      </c>
      <c r="D37" s="42">
        <v>0</v>
      </c>
      <c r="E37" s="42">
        <f>11464.81+31528.24</f>
        <v>42993.05</v>
      </c>
      <c r="F37" s="42">
        <v>0</v>
      </c>
      <c r="G37" s="42">
        <v>0</v>
      </c>
      <c r="H37" s="42">
        <v>0</v>
      </c>
      <c r="I37" s="42">
        <v>0</v>
      </c>
      <c r="J37" s="43">
        <f>SUM(B37:I37)</f>
        <v>42993.05</v>
      </c>
    </row>
    <row r="38" spans="1:10" ht="16.5">
      <c r="A38" s="54" t="s">
        <v>199</v>
      </c>
      <c r="B38" s="42">
        <v>0</v>
      </c>
      <c r="C38" s="42">
        <v>0</v>
      </c>
      <c r="D38" s="42">
        <v>0</v>
      </c>
      <c r="E38" s="42">
        <f>17261.81+13532.53</f>
        <v>30794.340000000004</v>
      </c>
      <c r="F38" s="42">
        <v>0</v>
      </c>
      <c r="G38" s="42">
        <v>0</v>
      </c>
      <c r="H38" s="42">
        <v>0</v>
      </c>
      <c r="I38" s="42">
        <v>0</v>
      </c>
      <c r="J38" s="43">
        <f>SUM(B38:I38)</f>
        <v>30794.340000000004</v>
      </c>
    </row>
    <row r="39" spans="1:10" ht="16.5">
      <c r="A39" s="54" t="s">
        <v>200</v>
      </c>
      <c r="B39" s="42">
        <v>0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3">
        <f t="shared" si="3"/>
        <v>0</v>
      </c>
    </row>
    <row r="40" spans="1:10" ht="16.5">
      <c r="A40" s="54" t="s">
        <v>203</v>
      </c>
      <c r="B40" s="42">
        <f>3979.53</f>
        <v>3979.53</v>
      </c>
      <c r="C40" s="42">
        <f>33702.2</f>
        <v>33702.2</v>
      </c>
      <c r="D40" s="42">
        <f>29479.83</f>
        <v>29479.83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3">
        <f aca="true" t="shared" si="4" ref="J40:J50">SUM(B40:I40)</f>
        <v>67161.56</v>
      </c>
    </row>
    <row r="41" spans="1:10" ht="16.5">
      <c r="A41" s="54" t="s">
        <v>204</v>
      </c>
      <c r="B41" s="42">
        <f>5399.73</f>
        <v>5399.73</v>
      </c>
      <c r="C41" s="42">
        <v>10634.68</v>
      </c>
      <c r="D41" s="42">
        <f>30835</f>
        <v>30835</v>
      </c>
      <c r="E41" s="42">
        <v>0</v>
      </c>
      <c r="F41" s="42">
        <v>0</v>
      </c>
      <c r="G41" s="42">
        <v>0</v>
      </c>
      <c r="H41" s="42">
        <v>0</v>
      </c>
      <c r="I41" s="42">
        <v>0</v>
      </c>
      <c r="J41" s="43">
        <f t="shared" si="4"/>
        <v>46869.41</v>
      </c>
    </row>
    <row r="42" spans="1:10" ht="16.5">
      <c r="A42" s="54" t="s">
        <v>205</v>
      </c>
      <c r="B42" s="42">
        <f>2722.41</f>
        <v>2722.41</v>
      </c>
      <c r="C42" s="42">
        <f>52507.07</f>
        <v>52507.07</v>
      </c>
      <c r="D42" s="42">
        <f>126278.96+8810</f>
        <v>135088.96000000002</v>
      </c>
      <c r="E42" s="42">
        <f>15278.05</f>
        <v>15278.05</v>
      </c>
      <c r="F42" s="42">
        <f>962</f>
        <v>962</v>
      </c>
      <c r="G42" s="42">
        <v>0</v>
      </c>
      <c r="H42" s="42">
        <v>0</v>
      </c>
      <c r="I42" s="42">
        <v>0</v>
      </c>
      <c r="J42" s="43">
        <f t="shared" si="4"/>
        <v>206558.49</v>
      </c>
    </row>
    <row r="43" spans="1:10" ht="16.5">
      <c r="A43" s="54" t="s">
        <v>206</v>
      </c>
      <c r="B43" s="42">
        <f>2592.9+56</f>
        <v>2648.9</v>
      </c>
      <c r="C43" s="42">
        <f>8379</f>
        <v>8379</v>
      </c>
      <c r="D43" s="42">
        <f>88+8810</f>
        <v>8898</v>
      </c>
      <c r="E43" s="42">
        <f>55800</f>
        <v>55800</v>
      </c>
      <c r="F43" s="42">
        <v>0</v>
      </c>
      <c r="G43" s="42">
        <v>0</v>
      </c>
      <c r="H43" s="42">
        <v>0</v>
      </c>
      <c r="I43" s="42">
        <v>0</v>
      </c>
      <c r="J43" s="43">
        <f t="shared" si="4"/>
        <v>75725.9</v>
      </c>
    </row>
    <row r="44" spans="1:10" ht="16.5">
      <c r="A44" s="54" t="s">
        <v>207</v>
      </c>
      <c r="B44" s="42">
        <f>5391.54+56</f>
        <v>5447.54</v>
      </c>
      <c r="C44" s="42">
        <f>22608.87</f>
        <v>22608.87</v>
      </c>
      <c r="D44" s="42">
        <f>35240+88</f>
        <v>35328</v>
      </c>
      <c r="E44" s="42">
        <v>0</v>
      </c>
      <c r="F44" s="42">
        <f>1885.52</f>
        <v>1885.52</v>
      </c>
      <c r="G44" s="42">
        <v>0</v>
      </c>
      <c r="H44" s="42">
        <v>0</v>
      </c>
      <c r="I44" s="42">
        <v>0</v>
      </c>
      <c r="J44" s="43">
        <f t="shared" si="4"/>
        <v>65269.93</v>
      </c>
    </row>
    <row r="45" spans="1:10" ht="16.5">
      <c r="A45" s="54" t="s">
        <v>208</v>
      </c>
      <c r="B45" s="42">
        <f>968.4+56</f>
        <v>1024.4</v>
      </c>
      <c r="C45" s="42">
        <f>41204.53</f>
        <v>41204.53</v>
      </c>
      <c r="D45" s="42">
        <f>11010+88</f>
        <v>11098</v>
      </c>
      <c r="E45" s="42">
        <v>0</v>
      </c>
      <c r="F45" s="42">
        <f>307.84</f>
        <v>307.84</v>
      </c>
      <c r="G45" s="42">
        <v>0</v>
      </c>
      <c r="H45" s="42">
        <v>0</v>
      </c>
      <c r="I45" s="42">
        <v>0</v>
      </c>
      <c r="J45" s="43">
        <f t="shared" si="4"/>
        <v>53634.77</v>
      </c>
    </row>
    <row r="46" spans="1:12" ht="16.5">
      <c r="A46" s="29" t="s">
        <v>210</v>
      </c>
      <c r="B46" s="30">
        <f>2597.48+2597.48+3624.26+2597.48+3624.26+3291.93+3389+3624.26+2573+2597.48+2597.48+3537.68+2573+3452+3452+2597.48+2420+3537.68+2326.84+3452+3389+3624.26+3537.68+2597.48+2573+2597.48+2420</f>
        <v>81201.68999999999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5">
        <f t="shared" si="4"/>
        <v>81201.68999999999</v>
      </c>
      <c r="K46" s="1"/>
      <c r="L46" s="1"/>
    </row>
    <row r="47" spans="1:12" ht="16.5">
      <c r="A47" s="16" t="s">
        <v>26</v>
      </c>
      <c r="B47" s="30">
        <f>5822.91+10575.35</f>
        <v>16398.260000000002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5">
        <f t="shared" si="4"/>
        <v>16398.260000000002</v>
      </c>
      <c r="K47" s="1"/>
      <c r="L47" s="1"/>
    </row>
    <row r="48" spans="1:12" ht="16.5">
      <c r="A48" s="22" t="s">
        <v>9</v>
      </c>
      <c r="B48" s="30">
        <f>56+56+56+168+56+112+168+112+112+56+56+56+56+280+168+112+56+56+168+112+56+112+56+56+168+56+56+280+56+56+112+2+56+56+56+448+56+56+56+336+56+56+112+56+56+56+56+168+56+56+112+448+56+56+56+56+56+112+56+56+56+56+56+168+56+168+112+56+56+56+336+56+56+56+168</f>
        <v>7562</v>
      </c>
      <c r="C48" s="30">
        <f>66.5+129.01+223.44+131.14+262.28+463.37+212.13+6028.49+950.95+941.65+2649.36+268+133+133+74.48+133+456.86+397.01+332.84+108.73+131.14+408.18+411.9+129.01+134+108.4+84.99+263.01+66.5+134+1496.73+129.01+144.31+387.03+154.94+131.14+131.14+134.66+798+391.02+134.66+84.99+84.98+526.02+134+77.47+129.01+134.66+108.4+134.66+134.66+370.74+2063.4+1524.45+365.75+4305.21+69.16+66.5+1209.24+710+134+134.66+134.66+66.5+108.73+332.84+140.45+108.73+69.16+134.66+134.66+893.76+131.14+917.3+3974.04+2633.4+1026.77+365.75+456.19+225.44+129.01+131.14+56.53+466.84+134.66+77.47+134.66+266+339.16+1214.29</f>
        <v>47304.910000000025</v>
      </c>
      <c r="D48" s="30">
        <f>88+88+88+264+88+176+264+176+176+88+88+88+88+792+528+528+88+88+264+176+88+176+88+88+880+88+88+440+88+88+264+95.34+88+88+88+88+88+88+880+88+88+176+176+88+88+264+264+88+88+176+88+176+176+88+88+88+264+88+88+88+264+176+176+176+176+88+88+264+88+264+88+176+88+88+792+264+88+88+88+264</f>
        <v>14703.34</v>
      </c>
      <c r="E48" s="30">
        <f>35+1785+1085+455+140+1680+210+35+1085+245+70+8316+490+35+1499.4+315+647.5+315+175+70+245+1155+52.5+402.5</f>
        <v>20542.9</v>
      </c>
      <c r="F48" s="30">
        <f>211.64+153.92+11967.28+1741.91+3059.16+230.88+57.72</f>
        <v>17422.510000000002</v>
      </c>
      <c r="G48" s="30">
        <f>92.43+3603.19+1050.54</f>
        <v>4746.16</v>
      </c>
      <c r="H48" s="30">
        <f>9.33+27.99+18.66+18.66+9.33+9.33+9.33+18.66+9.33+9.33+9.33+9.33+9.33+9.33</f>
        <v>177.27000000000007</v>
      </c>
      <c r="I48" s="30">
        <v>0</v>
      </c>
      <c r="J48" s="5">
        <f t="shared" si="4"/>
        <v>112459.09000000004</v>
      </c>
      <c r="K48" s="1"/>
      <c r="L48" s="1"/>
    </row>
    <row r="49" spans="1:12" ht="16.5">
      <c r="A49" s="22" t="s">
        <v>105</v>
      </c>
      <c r="B49" s="30">
        <v>0</v>
      </c>
      <c r="C49" s="30">
        <v>0</v>
      </c>
      <c r="D49" s="30">
        <v>0</v>
      </c>
      <c r="E49" s="30">
        <f>4545+360+1440+3600+1395+6300+225</f>
        <v>17865</v>
      </c>
      <c r="F49" s="30">
        <v>0</v>
      </c>
      <c r="G49" s="30">
        <v>0</v>
      </c>
      <c r="H49" s="30">
        <v>0</v>
      </c>
      <c r="I49" s="30">
        <v>0</v>
      </c>
      <c r="J49" s="5">
        <f t="shared" si="4"/>
        <v>17865</v>
      </c>
      <c r="K49" s="1"/>
      <c r="L49" s="1"/>
    </row>
    <row r="50" spans="1:12" ht="16.5">
      <c r="A50" s="22" t="s">
        <v>90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5">
        <f t="shared" si="4"/>
        <v>0</v>
      </c>
      <c r="K50" s="1"/>
      <c r="L50" s="1"/>
    </row>
    <row r="51" spans="1:12" ht="16.5">
      <c r="A51" s="16" t="s">
        <v>106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5">
        <f>7225.19+103.56+11918.58</f>
        <v>19247.33</v>
      </c>
      <c r="K51" s="1"/>
      <c r="L51" s="1"/>
    </row>
    <row r="52" spans="1:12" ht="16.5">
      <c r="A52" s="16" t="s">
        <v>18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5">
        <f>50+100+50+500+50+100+50+50+50+88.72</f>
        <v>1088.72</v>
      </c>
      <c r="K52" s="1"/>
      <c r="L52" s="1"/>
    </row>
    <row r="53" spans="1:12" ht="16.5">
      <c r="A53" s="38" t="s">
        <v>22</v>
      </c>
      <c r="B53" s="39">
        <v>0</v>
      </c>
      <c r="C53" s="39">
        <v>0</v>
      </c>
      <c r="D53" s="39">
        <v>0</v>
      </c>
      <c r="E53" s="39">
        <f>78000+295100</f>
        <v>373100</v>
      </c>
      <c r="F53" s="39">
        <f>192.4+2507.89</f>
        <v>2700.29</v>
      </c>
      <c r="G53" s="39">
        <f>845.3+70.85</f>
        <v>916.15</v>
      </c>
      <c r="H53" s="39">
        <v>0</v>
      </c>
      <c r="I53" s="39">
        <v>0</v>
      </c>
      <c r="J53" s="5">
        <f>SUM(B53:I53)</f>
        <v>376716.44</v>
      </c>
      <c r="K53" s="1"/>
      <c r="L53" s="1"/>
    </row>
    <row r="54" spans="1:12" ht="17.25" thickBot="1">
      <c r="A54" s="36" t="s">
        <v>10</v>
      </c>
      <c r="B54" s="23">
        <f aca="true" t="shared" si="5" ref="B54:I54">SUM(B13:B53)</f>
        <v>126384.45999999999</v>
      </c>
      <c r="C54" s="23">
        <f t="shared" si="5"/>
        <v>216341.26</v>
      </c>
      <c r="D54" s="23">
        <f t="shared" si="5"/>
        <v>265431.13000000006</v>
      </c>
      <c r="E54" s="23">
        <f t="shared" si="5"/>
        <v>570710.59</v>
      </c>
      <c r="F54" s="23">
        <f t="shared" si="5"/>
        <v>23278.160000000003</v>
      </c>
      <c r="G54" s="23">
        <f t="shared" si="5"/>
        <v>5662.3099999999995</v>
      </c>
      <c r="H54" s="23">
        <f t="shared" si="5"/>
        <v>177.27000000000007</v>
      </c>
      <c r="I54" s="23">
        <f t="shared" si="5"/>
        <v>0</v>
      </c>
      <c r="J54" s="32">
        <f>SUM(J13:J53)</f>
        <v>1228321.23</v>
      </c>
      <c r="K54" s="1"/>
      <c r="L54" s="1"/>
    </row>
    <row r="55" spans="1:12" ht="17.25" thickBot="1">
      <c r="A55" s="37" t="s">
        <v>202</v>
      </c>
      <c r="B55" s="24">
        <f aca="true" t="shared" si="6" ref="B55:I55">B11+B54</f>
        <v>131903.19</v>
      </c>
      <c r="C55" s="24">
        <f t="shared" si="6"/>
        <v>290936.37</v>
      </c>
      <c r="D55" s="24">
        <f t="shared" si="6"/>
        <v>317706.13000000006</v>
      </c>
      <c r="E55" s="24">
        <f t="shared" si="6"/>
        <v>582786.6</v>
      </c>
      <c r="F55" s="24">
        <f t="shared" si="6"/>
        <v>25452.280000000002</v>
      </c>
      <c r="G55" s="24">
        <f t="shared" si="6"/>
        <v>6662.3099999999995</v>
      </c>
      <c r="H55" s="24">
        <f t="shared" si="6"/>
        <v>177.27000000000007</v>
      </c>
      <c r="I55" s="24">
        <f t="shared" si="6"/>
        <v>0</v>
      </c>
      <c r="J55" s="25">
        <f>SUM(J54+J11)</f>
        <v>1375960.2</v>
      </c>
      <c r="K55" s="1"/>
      <c r="L55" s="17"/>
    </row>
    <row r="56" spans="2:10" ht="16.5">
      <c r="B56" s="45"/>
      <c r="C56" s="45"/>
      <c r="D56" s="45"/>
      <c r="E56" s="45"/>
      <c r="J56" s="57"/>
    </row>
    <row r="57" spans="2:10" ht="16.5">
      <c r="B57" s="45"/>
      <c r="C57" s="45"/>
      <c r="D57" s="45"/>
      <c r="E57" s="33"/>
      <c r="F57" s="33"/>
      <c r="J57" s="57"/>
    </row>
    <row r="58" spans="2:10" ht="16.5">
      <c r="B58" s="33"/>
      <c r="C58" s="33"/>
      <c r="D58" s="33"/>
      <c r="E58" s="33"/>
      <c r="F58" s="33"/>
      <c r="H58" s="33"/>
      <c r="J58" s="33"/>
    </row>
    <row r="59" spans="4:10" ht="16.5">
      <c r="D59" s="33"/>
      <c r="J59" s="33"/>
    </row>
    <row r="62" ht="16.5">
      <c r="H62" s="33"/>
    </row>
  </sheetData>
  <sheetProtection/>
  <mergeCells count="4">
    <mergeCell ref="A3:K3"/>
    <mergeCell ref="A4:K4"/>
    <mergeCell ref="A5:K5"/>
    <mergeCell ref="A7:J7"/>
  </mergeCells>
  <printOptions/>
  <pageMargins left="0.31496062992125984" right="0.11811023622047245" top="0.5905511811023623" bottom="0.5905511811023623" header="0.31496062992125984" footer="0.31496062992125984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="75" zoomScaleNormal="75" zoomScalePageLayoutView="0" workbookViewId="0" topLeftCell="A1">
      <pane ySplit="8" topLeftCell="A18" activePane="bottomLeft" state="frozen"/>
      <selection pane="topLeft" activeCell="A1" sqref="A1"/>
      <selection pane="bottomLeft" activeCell="A35" sqref="A35"/>
    </sheetView>
  </sheetViews>
  <sheetFormatPr defaultColWidth="9.140625" defaultRowHeight="15"/>
  <cols>
    <col min="1" max="1" width="75.00390625" style="7" customWidth="1"/>
    <col min="2" max="2" width="19.140625" style="7" customWidth="1"/>
    <col min="3" max="3" width="20.57421875" style="7" bestFit="1" customWidth="1"/>
    <col min="4" max="4" width="21.57421875" style="7" bestFit="1" customWidth="1"/>
    <col min="5" max="5" width="21.140625" style="7" bestFit="1" customWidth="1"/>
    <col min="6" max="6" width="18.00390625" style="7" bestFit="1" customWidth="1"/>
    <col min="7" max="7" width="15.8515625" style="7" bestFit="1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8582</v>
      </c>
      <c r="D1" s="28">
        <v>8769</v>
      </c>
      <c r="E1" s="20" t="s">
        <v>16</v>
      </c>
      <c r="F1" s="28" t="s">
        <v>61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1356</v>
      </c>
      <c r="D2" s="8">
        <v>1381</v>
      </c>
      <c r="E2" s="20" t="s">
        <v>16</v>
      </c>
      <c r="F2" s="8"/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59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33">
      <c r="A8" s="21" t="s">
        <v>21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f>112+840.05+1712.74+840.05+1067+730.23+2190.69+730.23</f>
        <v>8222.99</v>
      </c>
      <c r="C9" s="2">
        <f>172.9+2997.82+37450.28+856.52+548.63+831.78+2703.29+1663.56</f>
        <v>47224.77999999999</v>
      </c>
      <c r="D9" s="2">
        <f>8808+176+1101+1101+1101+1101+4404+1101</f>
        <v>18893</v>
      </c>
      <c r="E9" s="2">
        <f>2858.55+144824.91</f>
        <v>147683.46</v>
      </c>
      <c r="F9" s="2">
        <f>2424.24+673.4</f>
        <v>3097.64</v>
      </c>
      <c r="G9" s="2">
        <v>0</v>
      </c>
      <c r="H9" s="2">
        <v>0</v>
      </c>
      <c r="I9" s="2">
        <v>0</v>
      </c>
      <c r="J9" s="3">
        <f aca="true" t="shared" si="0" ref="J9:J14">SUM(B9:I9)</f>
        <v>225121.87</v>
      </c>
      <c r="K9" s="1"/>
    </row>
    <row r="10" spans="1:11" ht="16.5">
      <c r="A10" s="29" t="s">
        <v>46</v>
      </c>
      <c r="B10" s="2">
        <v>0</v>
      </c>
      <c r="C10" s="2">
        <v>0</v>
      </c>
      <c r="D10" s="2">
        <v>0</v>
      </c>
      <c r="E10" s="2">
        <f>3670.23</f>
        <v>3670.23</v>
      </c>
      <c r="F10" s="2">
        <v>0</v>
      </c>
      <c r="G10" s="2">
        <v>0</v>
      </c>
      <c r="H10" s="2">
        <v>0</v>
      </c>
      <c r="I10" s="2">
        <v>0</v>
      </c>
      <c r="J10" s="3">
        <f t="shared" si="0"/>
        <v>3670.23</v>
      </c>
      <c r="K10" s="1"/>
    </row>
    <row r="11" spans="1:11" ht="16.5">
      <c r="A11" s="29" t="s">
        <v>66</v>
      </c>
      <c r="B11" s="2">
        <f>1067</f>
        <v>1067</v>
      </c>
      <c r="C11" s="2">
        <f>8229.38</f>
        <v>8229.38</v>
      </c>
      <c r="D11" s="2">
        <f>5505</f>
        <v>5505</v>
      </c>
      <c r="E11" s="2">
        <f>12260.95</f>
        <v>12260.95</v>
      </c>
      <c r="F11" s="2">
        <f>230.88</f>
        <v>230.88</v>
      </c>
      <c r="G11" s="2">
        <v>0</v>
      </c>
      <c r="H11" s="2">
        <v>0</v>
      </c>
      <c r="I11" s="2">
        <v>0</v>
      </c>
      <c r="J11" s="3">
        <f t="shared" si="0"/>
        <v>27293.210000000003</v>
      </c>
      <c r="K11" s="1"/>
    </row>
    <row r="12" spans="1:12" ht="16.5">
      <c r="A12" s="29" t="s">
        <v>71</v>
      </c>
      <c r="B12" s="30">
        <f>1571.9</f>
        <v>1571.9</v>
      </c>
      <c r="C12" s="30">
        <f>7896.54</f>
        <v>7896.54</v>
      </c>
      <c r="D12" s="30">
        <f>6606</f>
        <v>6606</v>
      </c>
      <c r="E12" s="30">
        <f>52391.7</f>
        <v>52391.7</v>
      </c>
      <c r="F12" s="30">
        <f>673.4+76.96</f>
        <v>750.36</v>
      </c>
      <c r="G12" s="30">
        <v>0</v>
      </c>
      <c r="H12" s="30">
        <v>0</v>
      </c>
      <c r="I12" s="30">
        <v>0</v>
      </c>
      <c r="J12" s="32">
        <f>SUM(B12:I12)</f>
        <v>69216.5</v>
      </c>
      <c r="K12" s="1"/>
      <c r="L12" s="1"/>
    </row>
    <row r="13" spans="1:12" ht="16.5">
      <c r="A13" s="29" t="s">
        <v>72</v>
      </c>
      <c r="B13" s="30">
        <f>1067</f>
        <v>1067</v>
      </c>
      <c r="C13" s="30">
        <f>1097.25</f>
        <v>1097.25</v>
      </c>
      <c r="D13" s="30">
        <f>1101+1101</f>
        <v>2202</v>
      </c>
      <c r="E13" s="30">
        <f>7074.43</f>
        <v>7074.43</v>
      </c>
      <c r="F13" s="30">
        <f>211.64+307.84</f>
        <v>519.48</v>
      </c>
      <c r="G13" s="30">
        <v>0</v>
      </c>
      <c r="H13" s="30">
        <v>0</v>
      </c>
      <c r="I13" s="30">
        <v>0</v>
      </c>
      <c r="J13" s="32">
        <f>SUM(B13:I13)</f>
        <v>11960.16</v>
      </c>
      <c r="K13" s="1"/>
      <c r="L13" s="1"/>
    </row>
    <row r="14" spans="1:11" ht="16.5">
      <c r="A14" s="6"/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3">
        <f t="shared" si="0"/>
        <v>0</v>
      </c>
      <c r="K14" s="1"/>
    </row>
    <row r="15" spans="1:11" ht="16.5">
      <c r="A15" s="21" t="s">
        <v>8</v>
      </c>
      <c r="B15" s="4">
        <f aca="true" t="shared" si="1" ref="B15:J15">SUM(B9:B14)</f>
        <v>11928.89</v>
      </c>
      <c r="C15" s="4">
        <f t="shared" si="1"/>
        <v>64447.94999999999</v>
      </c>
      <c r="D15" s="4">
        <f t="shared" si="1"/>
        <v>33206</v>
      </c>
      <c r="E15" s="40">
        <f t="shared" si="1"/>
        <v>223080.77000000002</v>
      </c>
      <c r="F15" s="4">
        <f t="shared" si="1"/>
        <v>4598.360000000001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337261.97</v>
      </c>
      <c r="K15" s="15"/>
    </row>
    <row r="16" spans="1:11" ht="33">
      <c r="A16" s="21" t="s">
        <v>13</v>
      </c>
      <c r="B16" s="34" t="s">
        <v>0</v>
      </c>
      <c r="C16" s="34" t="s">
        <v>1</v>
      </c>
      <c r="D16" s="34" t="s">
        <v>2</v>
      </c>
      <c r="E16" s="34" t="s">
        <v>3</v>
      </c>
      <c r="F16" s="35" t="s">
        <v>4</v>
      </c>
      <c r="G16" s="35" t="s">
        <v>5</v>
      </c>
      <c r="H16" s="35" t="s">
        <v>6</v>
      </c>
      <c r="I16" s="35" t="s">
        <v>7</v>
      </c>
      <c r="J16" s="5" t="s">
        <v>14</v>
      </c>
      <c r="K16" s="1"/>
    </row>
    <row r="17" spans="1:11" ht="16.5">
      <c r="A17" s="6" t="s">
        <v>20</v>
      </c>
      <c r="B17" s="31">
        <v>0</v>
      </c>
      <c r="C17" s="31">
        <v>0</v>
      </c>
      <c r="D17" s="31">
        <v>0</v>
      </c>
      <c r="E17" s="31">
        <f>5829.27</f>
        <v>5829.27</v>
      </c>
      <c r="F17" s="31">
        <f>0</f>
        <v>0</v>
      </c>
      <c r="G17" s="31">
        <f>0</f>
        <v>0</v>
      </c>
      <c r="H17" s="31">
        <f>0</f>
        <v>0</v>
      </c>
      <c r="I17" s="31">
        <f>0</f>
        <v>0</v>
      </c>
      <c r="J17" s="32">
        <f aca="true" t="shared" si="2" ref="J17:J22">SUM(B17:I17)</f>
        <v>5829.27</v>
      </c>
      <c r="K17" s="1"/>
    </row>
    <row r="18" spans="1:11" ht="16.5">
      <c r="A18" s="6" t="s">
        <v>27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2">
        <f t="shared" si="2"/>
        <v>0</v>
      </c>
      <c r="K18" s="1"/>
    </row>
    <row r="19" spans="1:11" ht="16.5">
      <c r="A19" s="6" t="s">
        <v>25</v>
      </c>
      <c r="B19" s="31">
        <v>0</v>
      </c>
      <c r="C19" s="31">
        <v>0</v>
      </c>
      <c r="D19" s="31">
        <v>0</v>
      </c>
      <c r="E19" s="31">
        <f>16035.94+30673.9</f>
        <v>46709.840000000004</v>
      </c>
      <c r="F19" s="31">
        <v>0</v>
      </c>
      <c r="G19" s="31">
        <v>0</v>
      </c>
      <c r="H19" s="31">
        <v>0</v>
      </c>
      <c r="I19" s="31">
        <v>0</v>
      </c>
      <c r="J19" s="32">
        <f t="shared" si="2"/>
        <v>46709.840000000004</v>
      </c>
      <c r="K19" s="1"/>
    </row>
    <row r="20" spans="1:12" ht="16.5">
      <c r="A20" s="29" t="s">
        <v>32</v>
      </c>
      <c r="B20" s="30">
        <v>0</v>
      </c>
      <c r="C20" s="30">
        <v>0</v>
      </c>
      <c r="D20" s="30">
        <v>0</v>
      </c>
      <c r="E20" s="30">
        <f>9313.92</f>
        <v>9313.92</v>
      </c>
      <c r="F20" s="30">
        <v>0</v>
      </c>
      <c r="G20" s="30">
        <v>0</v>
      </c>
      <c r="H20" s="30">
        <v>0</v>
      </c>
      <c r="I20" s="30">
        <v>0</v>
      </c>
      <c r="J20" s="32">
        <f t="shared" si="2"/>
        <v>9313.92</v>
      </c>
      <c r="K20" s="1"/>
      <c r="L20" s="1"/>
    </row>
    <row r="21" spans="1:12" ht="16.5">
      <c r="A21" s="29" t="s">
        <v>30</v>
      </c>
      <c r="B21" s="30">
        <v>0</v>
      </c>
      <c r="C21" s="30">
        <v>0</v>
      </c>
      <c r="D21" s="30">
        <v>0</v>
      </c>
      <c r="E21" s="30">
        <f>36824.32</f>
        <v>36824.32</v>
      </c>
      <c r="F21" s="30">
        <v>0</v>
      </c>
      <c r="G21" s="30">
        <v>0</v>
      </c>
      <c r="H21" s="30">
        <v>0</v>
      </c>
      <c r="I21" s="30">
        <v>0</v>
      </c>
      <c r="J21" s="32">
        <f t="shared" si="2"/>
        <v>36824.32</v>
      </c>
      <c r="K21" s="1"/>
      <c r="L21" s="1"/>
    </row>
    <row r="22" spans="1:12" ht="16.5">
      <c r="A22" s="29" t="s">
        <v>29</v>
      </c>
      <c r="B22" s="30">
        <v>0</v>
      </c>
      <c r="C22" s="30">
        <v>0</v>
      </c>
      <c r="D22" s="30">
        <v>0</v>
      </c>
      <c r="E22" s="30">
        <f>6399.6</f>
        <v>6399.6</v>
      </c>
      <c r="F22" s="30">
        <v>0</v>
      </c>
      <c r="G22" s="30">
        <v>0</v>
      </c>
      <c r="H22" s="30">
        <v>0</v>
      </c>
      <c r="I22" s="30">
        <v>0</v>
      </c>
      <c r="J22" s="32">
        <f t="shared" si="2"/>
        <v>6399.6</v>
      </c>
      <c r="K22" s="1"/>
      <c r="L22" s="1"/>
    </row>
    <row r="23" spans="1:12" ht="16.5">
      <c r="A23" s="29" t="s">
        <v>43</v>
      </c>
      <c r="B23" s="30">
        <v>0</v>
      </c>
      <c r="C23" s="30">
        <v>0</v>
      </c>
      <c r="D23" s="30">
        <v>0</v>
      </c>
      <c r="E23" s="30">
        <f>33079.14</f>
        <v>33079.14</v>
      </c>
      <c r="F23" s="30">
        <v>0</v>
      </c>
      <c r="G23" s="30">
        <v>0</v>
      </c>
      <c r="H23" s="30">
        <v>0</v>
      </c>
      <c r="I23" s="30">
        <v>0</v>
      </c>
      <c r="J23" s="32">
        <f>SUM(B23:I23)</f>
        <v>33079.14</v>
      </c>
      <c r="K23" s="1"/>
      <c r="L23" s="1"/>
    </row>
    <row r="24" spans="1:12" ht="16.5">
      <c r="A24" s="29" t="s">
        <v>58</v>
      </c>
      <c r="B24" s="30">
        <v>0</v>
      </c>
      <c r="C24" s="30">
        <v>0</v>
      </c>
      <c r="D24" s="30">
        <f>4405</f>
        <v>4405</v>
      </c>
      <c r="E24" s="30">
        <f>1470+1085+105</f>
        <v>2660</v>
      </c>
      <c r="F24" s="30">
        <v>0</v>
      </c>
      <c r="G24" s="30">
        <v>0</v>
      </c>
      <c r="H24" s="30">
        <v>0</v>
      </c>
      <c r="I24" s="30">
        <v>0</v>
      </c>
      <c r="J24" s="32">
        <f aca="true" t="shared" si="3" ref="J24:J29">SUM(B24:I24)</f>
        <v>7065</v>
      </c>
      <c r="K24" s="1"/>
      <c r="L24" s="1"/>
    </row>
    <row r="25" spans="1:12" ht="16.5">
      <c r="A25" s="29" t="s">
        <v>53</v>
      </c>
      <c r="B25" s="30">
        <v>0</v>
      </c>
      <c r="C25" s="30">
        <v>0</v>
      </c>
      <c r="D25" s="30">
        <v>0</v>
      </c>
      <c r="E25" s="30">
        <f>27982.42+23994.03</f>
        <v>51976.45</v>
      </c>
      <c r="F25" s="30">
        <v>0</v>
      </c>
      <c r="G25" s="30">
        <v>0</v>
      </c>
      <c r="H25" s="30">
        <v>0</v>
      </c>
      <c r="I25" s="30">
        <v>0</v>
      </c>
      <c r="J25" s="32">
        <f t="shared" si="3"/>
        <v>51976.45</v>
      </c>
      <c r="K25" s="1"/>
      <c r="L25" s="1"/>
    </row>
    <row r="26" spans="1:12" ht="16.5">
      <c r="A26" s="29" t="s">
        <v>56</v>
      </c>
      <c r="B26" s="30">
        <v>0</v>
      </c>
      <c r="C26" s="30">
        <v>0</v>
      </c>
      <c r="D26" s="30">
        <v>0</v>
      </c>
      <c r="E26" s="30">
        <f>41450.8+29607.71</f>
        <v>71058.51000000001</v>
      </c>
      <c r="F26" s="30">
        <v>0</v>
      </c>
      <c r="G26" s="30">
        <v>0</v>
      </c>
      <c r="H26" s="30">
        <v>0</v>
      </c>
      <c r="I26" s="30">
        <v>0</v>
      </c>
      <c r="J26" s="32">
        <f t="shared" si="3"/>
        <v>71058.51000000001</v>
      </c>
      <c r="K26" s="1"/>
      <c r="L26" s="1"/>
    </row>
    <row r="27" spans="1:12" ht="16.5">
      <c r="A27" s="29" t="s">
        <v>63</v>
      </c>
      <c r="B27" s="30">
        <f>2469.33</f>
        <v>2469.33</v>
      </c>
      <c r="C27" s="30">
        <f>4592.16</f>
        <v>4592.16</v>
      </c>
      <c r="D27" s="30">
        <f>13215</f>
        <v>13215</v>
      </c>
      <c r="E27" s="30">
        <f>3115.17+1553.8</f>
        <v>4668.97</v>
      </c>
      <c r="F27" s="30">
        <v>0</v>
      </c>
      <c r="G27" s="30">
        <v>0</v>
      </c>
      <c r="H27" s="30">
        <v>0</v>
      </c>
      <c r="I27" s="30">
        <v>0</v>
      </c>
      <c r="J27" s="32">
        <f t="shared" si="3"/>
        <v>24945.46</v>
      </c>
      <c r="K27" s="1"/>
      <c r="L27" s="1"/>
    </row>
    <row r="28" spans="1:12" ht="16.5">
      <c r="A28" s="29" t="s">
        <v>64</v>
      </c>
      <c r="B28" s="30">
        <f>2480.4</f>
        <v>2480.4</v>
      </c>
      <c r="C28" s="30">
        <f>2762.68</f>
        <v>2762.68</v>
      </c>
      <c r="D28" s="30">
        <f>8810</f>
        <v>8810</v>
      </c>
      <c r="E28" s="30">
        <f>315+1260+465+1890+620+2520</f>
        <v>7070</v>
      </c>
      <c r="F28" s="30">
        <v>0</v>
      </c>
      <c r="G28" s="30">
        <v>0</v>
      </c>
      <c r="H28" s="30">
        <v>0</v>
      </c>
      <c r="I28" s="30">
        <v>0</v>
      </c>
      <c r="J28" s="32">
        <f t="shared" si="3"/>
        <v>21123.08</v>
      </c>
      <c r="K28" s="1"/>
      <c r="L28" s="1"/>
    </row>
    <row r="29" spans="1:12" ht="16.5">
      <c r="A29" s="29" t="s">
        <v>65</v>
      </c>
      <c r="B29" s="30">
        <f>6890.4</f>
        <v>6890.4</v>
      </c>
      <c r="C29" s="30">
        <f>10640</f>
        <v>10640</v>
      </c>
      <c r="D29" s="30">
        <f>46987.7</f>
        <v>46987.7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2">
        <f t="shared" si="3"/>
        <v>64518.1</v>
      </c>
      <c r="K29" s="1"/>
      <c r="L29" s="1"/>
    </row>
    <row r="30" spans="1:12" ht="16.5">
      <c r="A30" s="29" t="s">
        <v>68</v>
      </c>
      <c r="B30" s="30">
        <f>2883.51</f>
        <v>2883.51</v>
      </c>
      <c r="C30" s="30">
        <f>13299.33</f>
        <v>13299.33</v>
      </c>
      <c r="D30" s="30">
        <f>17620</f>
        <v>17620</v>
      </c>
      <c r="E30" s="30">
        <f>49600</f>
        <v>49600</v>
      </c>
      <c r="F30" s="30">
        <v>0</v>
      </c>
      <c r="G30" s="30">
        <v>0</v>
      </c>
      <c r="H30" s="30">
        <v>0</v>
      </c>
      <c r="I30" s="30">
        <v>0</v>
      </c>
      <c r="J30" s="32">
        <f aca="true" t="shared" si="4" ref="J30:J39">SUM(B30:I30)</f>
        <v>83402.84</v>
      </c>
      <c r="K30" s="1"/>
      <c r="L30" s="1"/>
    </row>
    <row r="31" spans="1:12" ht="16.5">
      <c r="A31" s="29" t="s">
        <v>67</v>
      </c>
      <c r="B31" s="30">
        <f>2107.06</f>
        <v>2107.06</v>
      </c>
      <c r="C31" s="30">
        <f>7933.45</f>
        <v>7933.45</v>
      </c>
      <c r="D31" s="30">
        <f>8810+30835</f>
        <v>39645</v>
      </c>
      <c r="E31" s="30">
        <f>819+1015+1522.5+1209</f>
        <v>4565.5</v>
      </c>
      <c r="F31" s="30">
        <v>0</v>
      </c>
      <c r="G31" s="30">
        <v>0</v>
      </c>
      <c r="H31" s="30">
        <v>0</v>
      </c>
      <c r="I31" s="30">
        <v>0</v>
      </c>
      <c r="J31" s="32">
        <f t="shared" si="4"/>
        <v>54251.01</v>
      </c>
      <c r="K31" s="1"/>
      <c r="L31" s="1"/>
    </row>
    <row r="32" spans="1:12" ht="16.5">
      <c r="A32" s="29" t="s">
        <v>69</v>
      </c>
      <c r="B32" s="30">
        <f>3709.53+56</f>
        <v>3765.53</v>
      </c>
      <c r="C32" s="30">
        <f>14582.39</f>
        <v>14582.39</v>
      </c>
      <c r="D32" s="30">
        <f>52860+88</f>
        <v>52948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2">
        <f t="shared" si="4"/>
        <v>71295.92</v>
      </c>
      <c r="K32" s="1"/>
      <c r="L32" s="1"/>
    </row>
    <row r="33" spans="1:12" ht="16.5">
      <c r="A33" s="29" t="s">
        <v>70</v>
      </c>
      <c r="B33" s="30">
        <f>2670.93</f>
        <v>2670.93</v>
      </c>
      <c r="C33" s="30">
        <f>4776.83</f>
        <v>4776.83</v>
      </c>
      <c r="D33" s="30">
        <f>13215</f>
        <v>13215</v>
      </c>
      <c r="E33" s="30">
        <f>5115+9269+6479+352322.04+29450+44175</f>
        <v>446810.04</v>
      </c>
      <c r="F33" s="30">
        <v>1924</v>
      </c>
      <c r="G33" s="30">
        <v>0</v>
      </c>
      <c r="H33" s="30">
        <v>0</v>
      </c>
      <c r="I33" s="30">
        <v>0</v>
      </c>
      <c r="J33" s="32">
        <f>SUM(B33:I33)</f>
        <v>469396.8</v>
      </c>
      <c r="K33" s="1"/>
      <c r="L33" s="1"/>
    </row>
    <row r="34" spans="1:12" ht="16.5">
      <c r="A34" s="29" t="s">
        <v>73</v>
      </c>
      <c r="B34" s="30">
        <f>5629.68</f>
        <v>5629.68</v>
      </c>
      <c r="C34" s="30">
        <f>15143.65</f>
        <v>15143.65</v>
      </c>
      <c r="D34" s="30">
        <f>39645</f>
        <v>39645</v>
      </c>
      <c r="E34" s="30">
        <f>11352.45</f>
        <v>11352.45</v>
      </c>
      <c r="F34" s="30">
        <v>0</v>
      </c>
      <c r="G34" s="30">
        <v>0</v>
      </c>
      <c r="H34" s="30">
        <v>0</v>
      </c>
      <c r="I34" s="30">
        <v>0</v>
      </c>
      <c r="J34" s="32">
        <f>SUM(B34:I34)</f>
        <v>71770.78</v>
      </c>
      <c r="K34" s="1"/>
      <c r="L34" s="1"/>
    </row>
    <row r="35" spans="1:12" ht="16.5">
      <c r="A35" s="29" t="s">
        <v>74</v>
      </c>
      <c r="B35" s="30">
        <f>2565.18</f>
        <v>2565.18</v>
      </c>
      <c r="C35" s="30">
        <f>12424.86</f>
        <v>12424.86</v>
      </c>
      <c r="D35" s="30">
        <f>52617.22</f>
        <v>52617.22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2">
        <f>SUM(B35:I35)</f>
        <v>67607.26000000001</v>
      </c>
      <c r="K35" s="1"/>
      <c r="L35" s="1"/>
    </row>
    <row r="36" spans="1:12" ht="16.5">
      <c r="A36" s="29" t="s">
        <v>62</v>
      </c>
      <c r="B36" s="30">
        <f>3537.68+2420+2420+2786.01+3389+2702.2+3604.55+2834.8+2420+3452+3389+2786.01+3537.68+2734.5+2420+3604.55+2488+3537.68+3537.68+2786.01+3452+3389+2420+3604.55+3537.68</f>
        <v>76790.58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2">
        <f t="shared" si="4"/>
        <v>76790.58</v>
      </c>
      <c r="K36" s="1"/>
      <c r="L36" s="1"/>
    </row>
    <row r="37" spans="1:12" ht="16.5">
      <c r="A37" s="16" t="s">
        <v>26</v>
      </c>
      <c r="B37" s="30">
        <f>8031.6+484049.65+10674.15</f>
        <v>502755.4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2">
        <f t="shared" si="4"/>
        <v>502755.4</v>
      </c>
      <c r="K37" s="1"/>
      <c r="L37" s="1"/>
    </row>
    <row r="38" spans="1:12" ht="16.5">
      <c r="A38" s="22" t="s">
        <v>9</v>
      </c>
      <c r="B38" s="30">
        <f>56+56+56+547.75+56+112+56+56+56+280+280+112+56+56+56+112+56+56+56+56+56+56+56+168+112+56+168+56+112+422.1+112+280+168+56+168+56+56+112+56+168+56+56+336+56+390+336+56+56+56+56+56+56+112+422.1+56+56+112+56</f>
        <v>7101.950000000001</v>
      </c>
      <c r="C38" s="30">
        <f>93.1+66.5+339.15+138.32+304.58+129.01+129.01+93.1+944.98+698.27+655.03+239.4+93.1+93.1+93.1+93.1+93.1+93.1+93.1+293.6+93.1+1675.8+798+512.05+93.1+133+152.95+66.5+186.2+186.2+203.83+205.49+774.06+413.17+397.01+3271.8+1123.87+129.01+93.1+558.6+134.66+134.66+152.95+93.1+465.5+129.01+69.16+458.2+349.14+686.82+784.04+977.57+134.66+134.66+134.66+134.66+306.23+134.66+129.01+205.49+93.1+129.01+186.2+69.16</f>
        <v>22068.9</v>
      </c>
      <c r="D38" s="30">
        <f>88+176+88+88+88+264+88+88+88+528+440+176+352+264+176+264+176+176+176+176+528+88+88+352+264+88+264+88+176+88+616+352+88+88+264+88+88+176+88+264+88+88+528+88+616+616+440+352+176+176+176+88+88+264+88+176+88+88+88+176+88</f>
        <v>12672</v>
      </c>
      <c r="E38" s="30">
        <f>157.5+3195.08+560+507.5+210+350+70+35+35+35+24479+420+175+612.5+35+490+1890+700+297.5+805+245+35+1260+507.5</f>
        <v>37106.58</v>
      </c>
      <c r="F38" s="30">
        <f>4559.88+192.4+57.72+57.72+3200.26</f>
        <v>8067.9800000000005</v>
      </c>
      <c r="G38" s="30">
        <f>962.2</f>
        <v>962.2</v>
      </c>
      <c r="H38" s="30">
        <f>9.33+9.33+9.33+9.33+9.33+9.33+46.65+9.33+18.66</f>
        <v>130.62</v>
      </c>
      <c r="I38" s="30">
        <v>0</v>
      </c>
      <c r="J38" s="32">
        <f t="shared" si="4"/>
        <v>88110.23</v>
      </c>
      <c r="K38" s="1"/>
      <c r="L38" s="1"/>
    </row>
    <row r="39" spans="1:12" ht="16.5">
      <c r="A39" s="22" t="s">
        <v>19</v>
      </c>
      <c r="B39" s="30">
        <v>0</v>
      </c>
      <c r="C39" s="30">
        <v>0</v>
      </c>
      <c r="D39" s="30">
        <v>0</v>
      </c>
      <c r="E39" s="30">
        <f>4545+360+1440+4185+1665+225+675</f>
        <v>13095</v>
      </c>
      <c r="F39" s="30">
        <v>0</v>
      </c>
      <c r="G39" s="30">
        <v>0</v>
      </c>
      <c r="H39" s="30">
        <v>0</v>
      </c>
      <c r="I39" s="30">
        <v>0</v>
      </c>
      <c r="J39" s="32">
        <f t="shared" si="4"/>
        <v>13095</v>
      </c>
      <c r="K39" s="1"/>
      <c r="L39" s="1"/>
    </row>
    <row r="40" spans="1:12" ht="16.5">
      <c r="A40" s="16" t="s">
        <v>12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2">
        <f>292.94+4472.06+32.23+66.66+344.8+268.14+212.11+106.67+351.54</f>
        <v>6147.15</v>
      </c>
      <c r="K40" s="1"/>
      <c r="L40" s="1"/>
    </row>
    <row r="41" spans="1:12" ht="16.5">
      <c r="A41" s="16" t="s">
        <v>18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2">
        <f>50+150+50+290</f>
        <v>540</v>
      </c>
      <c r="K41" s="1"/>
      <c r="L41" s="1"/>
    </row>
    <row r="42" spans="1:12" ht="16.5">
      <c r="A42" s="38" t="s">
        <v>22</v>
      </c>
      <c r="B42" s="39">
        <v>0</v>
      </c>
      <c r="C42" s="39">
        <v>0</v>
      </c>
      <c r="D42" s="39">
        <v>0</v>
      </c>
      <c r="E42" s="39">
        <f>78000+260000</f>
        <v>338000</v>
      </c>
      <c r="F42" s="39">
        <v>0</v>
      </c>
      <c r="G42" s="39">
        <v>0</v>
      </c>
      <c r="H42" s="39">
        <v>0</v>
      </c>
      <c r="I42" s="39">
        <v>0</v>
      </c>
      <c r="J42" s="32">
        <f>SUM(B42:I42)</f>
        <v>338000</v>
      </c>
      <c r="K42" s="1"/>
      <c r="L42" s="1"/>
    </row>
    <row r="43" spans="1:12" ht="17.25" thickBot="1">
      <c r="A43" s="36" t="s">
        <v>10</v>
      </c>
      <c r="B43" s="23">
        <f>SUM(B17:B42)</f>
        <v>618109.95</v>
      </c>
      <c r="C43" s="23">
        <f aca="true" t="shared" si="5" ref="C43:I43">SUM(C17:C42)</f>
        <v>108224.25</v>
      </c>
      <c r="D43" s="23">
        <f t="shared" si="5"/>
        <v>301779.92000000004</v>
      </c>
      <c r="E43" s="23">
        <f>SUM(E17:E42)</f>
        <v>1176119.5899999999</v>
      </c>
      <c r="F43" s="23">
        <f t="shared" si="5"/>
        <v>9991.98</v>
      </c>
      <c r="G43" s="23">
        <f t="shared" si="5"/>
        <v>962.2</v>
      </c>
      <c r="H43" s="23">
        <f t="shared" si="5"/>
        <v>130.62</v>
      </c>
      <c r="I43" s="23">
        <f t="shared" si="5"/>
        <v>0</v>
      </c>
      <c r="J43" s="32">
        <f>SUM(J17:J42)</f>
        <v>2222005.66</v>
      </c>
      <c r="K43" s="1"/>
      <c r="L43" s="1"/>
    </row>
    <row r="44" spans="1:12" ht="17.25" thickBot="1">
      <c r="A44" s="37" t="s">
        <v>60</v>
      </c>
      <c r="B44" s="24">
        <f aca="true" t="shared" si="6" ref="B44:I44">B15+B43</f>
        <v>630038.84</v>
      </c>
      <c r="C44" s="24">
        <f t="shared" si="6"/>
        <v>172672.19999999998</v>
      </c>
      <c r="D44" s="24">
        <f t="shared" si="6"/>
        <v>334985.92000000004</v>
      </c>
      <c r="E44" s="24">
        <f t="shared" si="6"/>
        <v>1399200.3599999999</v>
      </c>
      <c r="F44" s="24">
        <f t="shared" si="6"/>
        <v>14590.34</v>
      </c>
      <c r="G44" s="24">
        <f t="shared" si="6"/>
        <v>962.2</v>
      </c>
      <c r="H44" s="24">
        <f t="shared" si="6"/>
        <v>130.62</v>
      </c>
      <c r="I44" s="24">
        <f t="shared" si="6"/>
        <v>0</v>
      </c>
      <c r="J44" s="25">
        <f>SUM(J43+J15)</f>
        <v>2559267.63</v>
      </c>
      <c r="K44" s="1"/>
      <c r="L44" s="17"/>
    </row>
    <row r="45" ht="16.5">
      <c r="J45" s="33"/>
    </row>
    <row r="46" spans="2:10" ht="16.5">
      <c r="B46" s="33"/>
      <c r="J46" s="33"/>
    </row>
    <row r="47" spans="2:10" ht="16.5">
      <c r="B47" s="33"/>
      <c r="F47" s="33"/>
      <c r="J47" s="33"/>
    </row>
  </sheetData>
  <sheetProtection password="C622" sheet="1"/>
  <mergeCells count="4">
    <mergeCell ref="A3:K3"/>
    <mergeCell ref="A4:K4"/>
    <mergeCell ref="A5:K5"/>
    <mergeCell ref="A7:J7"/>
  </mergeCells>
  <printOptions horizontalCentered="1" vertic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scale="55" r:id="rId2"/>
  <ignoredErrors>
    <ignoredError sqref="B12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75" zoomScaleNormal="75" zoomScalePageLayoutView="0" workbookViewId="0" topLeftCell="A1">
      <pane ySplit="8" topLeftCell="A24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75.00390625" style="7" customWidth="1"/>
    <col min="2" max="2" width="19.140625" style="7" customWidth="1"/>
    <col min="3" max="3" width="20.57421875" style="7" bestFit="1" customWidth="1"/>
    <col min="4" max="4" width="21.57421875" style="7" bestFit="1" customWidth="1"/>
    <col min="5" max="5" width="21.140625" style="7" bestFit="1" customWidth="1"/>
    <col min="6" max="6" width="18.00390625" style="7" bestFit="1" customWidth="1"/>
    <col min="7" max="7" width="15.8515625" style="7" bestFit="1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8770</v>
      </c>
      <c r="D1" s="28">
        <v>8909</v>
      </c>
      <c r="E1" s="20" t="s">
        <v>16</v>
      </c>
      <c r="F1" s="28" t="s">
        <v>78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1382</v>
      </c>
      <c r="D2" s="8">
        <v>1411</v>
      </c>
      <c r="E2" s="20" t="s">
        <v>16</v>
      </c>
      <c r="F2" s="8"/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75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33">
      <c r="A8" s="21" t="s">
        <v>21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f>840.05+1680.1+56+730.23+1306.74+730.23+1306.74+429.8+840.05</f>
        <v>7919.9400000000005</v>
      </c>
      <c r="C9" s="2">
        <f>428.26+4282.6+129.68+415.89+7827.85+415.89+6818.99+152.95+263.34+856.52</f>
        <v>21591.970000000005</v>
      </c>
      <c r="D9" s="2">
        <f>1101+9909+3303+88+1101+7707+1101+176+176+2202</f>
        <v>26864</v>
      </c>
      <c r="E9" s="2">
        <f>7099.62</f>
        <v>7099.62</v>
      </c>
      <c r="F9" s="2">
        <f>1770.08+1115.92+1231.36+904.28</f>
        <v>5021.639999999999</v>
      </c>
      <c r="G9" s="2">
        <v>0</v>
      </c>
      <c r="H9" s="2">
        <v>0</v>
      </c>
      <c r="I9" s="2">
        <v>0</v>
      </c>
      <c r="J9" s="3">
        <f>SUM(B9:I9)</f>
        <v>68497.17000000001</v>
      </c>
      <c r="K9" s="1"/>
    </row>
    <row r="10" spans="1:11" ht="16.5">
      <c r="A10" s="29" t="s">
        <v>46</v>
      </c>
      <c r="B10" s="2">
        <v>0</v>
      </c>
      <c r="C10" s="2">
        <v>0</v>
      </c>
      <c r="D10" s="2">
        <v>0</v>
      </c>
      <c r="E10" s="2">
        <f>15207.66+1736.03</f>
        <v>16943.69</v>
      </c>
      <c r="F10" s="2">
        <v>0</v>
      </c>
      <c r="G10" s="2">
        <v>0</v>
      </c>
      <c r="H10" s="2">
        <v>0</v>
      </c>
      <c r="I10" s="2">
        <v>0</v>
      </c>
      <c r="J10" s="3">
        <f>SUM(B10:I10)</f>
        <v>16943.69</v>
      </c>
      <c r="K10" s="1"/>
    </row>
    <row r="11" spans="1:11" ht="16.5">
      <c r="A11" s="29" t="s">
        <v>80</v>
      </c>
      <c r="B11" s="2">
        <f>1067</f>
        <v>1067</v>
      </c>
      <c r="C11" s="2">
        <f>2194.5</f>
        <v>2194.5</v>
      </c>
      <c r="D11" s="2">
        <f>2202+2202</f>
        <v>4404</v>
      </c>
      <c r="E11" s="2">
        <f>87.5</f>
        <v>87.5</v>
      </c>
      <c r="F11" s="2">
        <f>615.68</f>
        <v>615.68</v>
      </c>
      <c r="G11" s="2">
        <v>0</v>
      </c>
      <c r="H11" s="2">
        <v>0</v>
      </c>
      <c r="I11" s="2">
        <v>0</v>
      </c>
      <c r="J11" s="3">
        <f>SUM(B11:I11)</f>
        <v>8368.68</v>
      </c>
      <c r="K11" s="1"/>
    </row>
    <row r="12" spans="1:11" ht="16.5">
      <c r="A12" s="21" t="s">
        <v>8</v>
      </c>
      <c r="B12" s="4">
        <f aca="true" t="shared" si="0" ref="B12:J12">SUM(B9:B11)</f>
        <v>8986.94</v>
      </c>
      <c r="C12" s="4">
        <f t="shared" si="0"/>
        <v>23786.470000000005</v>
      </c>
      <c r="D12" s="4">
        <f t="shared" si="0"/>
        <v>31268</v>
      </c>
      <c r="E12" s="40">
        <f t="shared" si="0"/>
        <v>24130.809999999998</v>
      </c>
      <c r="F12" s="4">
        <f t="shared" si="0"/>
        <v>5637.32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93809.54000000001</v>
      </c>
      <c r="K12" s="15"/>
    </row>
    <row r="13" spans="1:11" ht="33">
      <c r="A13" s="21" t="s">
        <v>13</v>
      </c>
      <c r="B13" s="34" t="s">
        <v>0</v>
      </c>
      <c r="C13" s="34" t="s">
        <v>1</v>
      </c>
      <c r="D13" s="34" t="s">
        <v>2</v>
      </c>
      <c r="E13" s="34" t="s">
        <v>3</v>
      </c>
      <c r="F13" s="35" t="s">
        <v>4</v>
      </c>
      <c r="G13" s="35" t="s">
        <v>5</v>
      </c>
      <c r="H13" s="35" t="s">
        <v>6</v>
      </c>
      <c r="I13" s="35" t="s">
        <v>7</v>
      </c>
      <c r="J13" s="5" t="s">
        <v>14</v>
      </c>
      <c r="K13" s="1"/>
    </row>
    <row r="14" spans="1:11" ht="16.5">
      <c r="A14" s="6" t="s">
        <v>20</v>
      </c>
      <c r="B14" s="31">
        <v>0</v>
      </c>
      <c r="C14" s="31">
        <v>0</v>
      </c>
      <c r="D14" s="31">
        <v>0</v>
      </c>
      <c r="E14" s="31">
        <f>4074.03</f>
        <v>4074.03</v>
      </c>
      <c r="F14" s="31">
        <f>0</f>
        <v>0</v>
      </c>
      <c r="G14" s="31">
        <f>0</f>
        <v>0</v>
      </c>
      <c r="H14" s="31">
        <f>0</f>
        <v>0</v>
      </c>
      <c r="I14" s="31">
        <f>0</f>
        <v>0</v>
      </c>
      <c r="J14" s="32">
        <f aca="true" t="shared" si="1" ref="J14:J19">SUM(B14:I14)</f>
        <v>4074.03</v>
      </c>
      <c r="K14" s="1"/>
    </row>
    <row r="15" spans="1:11" ht="16.5">
      <c r="A15" s="6" t="s">
        <v>27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2">
        <f t="shared" si="1"/>
        <v>0</v>
      </c>
      <c r="K15" s="1"/>
    </row>
    <row r="16" spans="1:11" ht="16.5">
      <c r="A16" s="6" t="s">
        <v>25</v>
      </c>
      <c r="B16" s="31">
        <v>0</v>
      </c>
      <c r="C16" s="31">
        <v>0</v>
      </c>
      <c r="D16" s="31">
        <v>0</v>
      </c>
      <c r="E16" s="31">
        <f>29909.93+17559.74</f>
        <v>47469.67</v>
      </c>
      <c r="F16" s="31">
        <v>0</v>
      </c>
      <c r="G16" s="31">
        <v>0</v>
      </c>
      <c r="H16" s="31">
        <v>0</v>
      </c>
      <c r="I16" s="31">
        <v>0</v>
      </c>
      <c r="J16" s="32">
        <f t="shared" si="1"/>
        <v>47469.67</v>
      </c>
      <c r="K16" s="1"/>
    </row>
    <row r="17" spans="1:12" ht="16.5">
      <c r="A17" s="29" t="s">
        <v>32</v>
      </c>
      <c r="B17" s="30">
        <v>0</v>
      </c>
      <c r="C17" s="30">
        <v>0</v>
      </c>
      <c r="D17" s="30">
        <v>0</v>
      </c>
      <c r="E17" s="30">
        <f>6096.44</f>
        <v>6096.44</v>
      </c>
      <c r="F17" s="30">
        <v>0</v>
      </c>
      <c r="G17" s="30">
        <v>0</v>
      </c>
      <c r="H17" s="30">
        <v>0</v>
      </c>
      <c r="I17" s="30">
        <v>0</v>
      </c>
      <c r="J17" s="32">
        <f t="shared" si="1"/>
        <v>6096.44</v>
      </c>
      <c r="K17" s="1"/>
      <c r="L17" s="1"/>
    </row>
    <row r="18" spans="1:12" ht="16.5">
      <c r="A18" s="29" t="s">
        <v>30</v>
      </c>
      <c r="B18" s="30">
        <v>0</v>
      </c>
      <c r="C18" s="30">
        <v>0</v>
      </c>
      <c r="D18" s="30">
        <v>0</v>
      </c>
      <c r="E18" s="30">
        <f>44224.01+53103.64</f>
        <v>97327.65</v>
      </c>
      <c r="F18" s="30">
        <v>0</v>
      </c>
      <c r="G18" s="30">
        <v>0</v>
      </c>
      <c r="H18" s="30">
        <v>0</v>
      </c>
      <c r="I18" s="30">
        <v>0</v>
      </c>
      <c r="J18" s="32">
        <f t="shared" si="1"/>
        <v>97327.65</v>
      </c>
      <c r="K18" s="1"/>
      <c r="L18" s="1"/>
    </row>
    <row r="19" spans="1:12" ht="16.5">
      <c r="A19" s="29" t="s">
        <v>29</v>
      </c>
      <c r="B19" s="30">
        <v>0</v>
      </c>
      <c r="C19" s="30">
        <v>0</v>
      </c>
      <c r="D19" s="30">
        <v>0</v>
      </c>
      <c r="E19" s="30">
        <f>7680+9216.55</f>
        <v>16896.55</v>
      </c>
      <c r="F19" s="30">
        <v>0</v>
      </c>
      <c r="G19" s="30">
        <v>0</v>
      </c>
      <c r="H19" s="30">
        <v>0</v>
      </c>
      <c r="I19" s="30">
        <v>0</v>
      </c>
      <c r="J19" s="32">
        <f t="shared" si="1"/>
        <v>16896.55</v>
      </c>
      <c r="K19" s="1"/>
      <c r="L19" s="1"/>
    </row>
    <row r="20" spans="1:12" ht="16.5">
      <c r="A20" s="29" t="s">
        <v>43</v>
      </c>
      <c r="B20" s="30">
        <v>0</v>
      </c>
      <c r="C20" s="30">
        <v>0</v>
      </c>
      <c r="D20" s="30">
        <v>0</v>
      </c>
      <c r="E20" s="30">
        <f>39717.47+47593.45</f>
        <v>87310.92</v>
      </c>
      <c r="F20" s="30">
        <v>0</v>
      </c>
      <c r="G20" s="30">
        <v>0</v>
      </c>
      <c r="H20" s="30">
        <v>0</v>
      </c>
      <c r="I20" s="30">
        <v>0</v>
      </c>
      <c r="J20" s="32">
        <f aca="true" t="shared" si="2" ref="J20:J25">SUM(B20:I20)</f>
        <v>87310.92</v>
      </c>
      <c r="K20" s="1"/>
      <c r="L20" s="1"/>
    </row>
    <row r="21" spans="1:12" ht="16.5">
      <c r="A21" s="29" t="s">
        <v>58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2">
        <f t="shared" si="2"/>
        <v>0</v>
      </c>
      <c r="K21" s="1"/>
      <c r="L21" s="1"/>
    </row>
    <row r="22" spans="1:12" ht="16.5">
      <c r="A22" s="29" t="s">
        <v>53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2">
        <f t="shared" si="2"/>
        <v>0</v>
      </c>
      <c r="K22" s="1"/>
      <c r="L22" s="1"/>
    </row>
    <row r="23" spans="1:12" ht="16.5">
      <c r="A23" s="29" t="s">
        <v>56</v>
      </c>
      <c r="B23" s="30">
        <v>0</v>
      </c>
      <c r="C23" s="30">
        <v>0</v>
      </c>
      <c r="D23" s="30">
        <v>0</v>
      </c>
      <c r="E23" s="30">
        <f>35529.25+42659.27</f>
        <v>78188.51999999999</v>
      </c>
      <c r="F23" s="30">
        <v>0</v>
      </c>
      <c r="G23" s="30">
        <v>0</v>
      </c>
      <c r="H23" s="30">
        <v>0</v>
      </c>
      <c r="I23" s="30">
        <v>0</v>
      </c>
      <c r="J23" s="32">
        <f t="shared" si="2"/>
        <v>78188.51999999999</v>
      </c>
      <c r="K23" s="1"/>
      <c r="L23" s="1"/>
    </row>
    <row r="24" spans="1:12" ht="16.5">
      <c r="A24" s="29" t="s">
        <v>63</v>
      </c>
      <c r="B24" s="30">
        <v>0</v>
      </c>
      <c r="C24" s="30">
        <v>0</v>
      </c>
      <c r="D24" s="30">
        <v>0</v>
      </c>
      <c r="E24" s="30">
        <f>1050.72</f>
        <v>1050.72</v>
      </c>
      <c r="F24" s="30">
        <v>0</v>
      </c>
      <c r="G24" s="30">
        <v>0</v>
      </c>
      <c r="H24" s="30">
        <v>0</v>
      </c>
      <c r="I24" s="30">
        <v>0</v>
      </c>
      <c r="J24" s="32">
        <f t="shared" si="2"/>
        <v>1050.72</v>
      </c>
      <c r="K24" s="1"/>
      <c r="L24" s="1"/>
    </row>
    <row r="25" spans="1:12" ht="16.5">
      <c r="A25" s="29" t="s">
        <v>64</v>
      </c>
      <c r="B25" s="30">
        <v>0</v>
      </c>
      <c r="C25" s="30">
        <v>0</v>
      </c>
      <c r="D25" s="30">
        <v>0</v>
      </c>
      <c r="E25" s="30">
        <f>1705+6930+1116+4536</f>
        <v>14287</v>
      </c>
      <c r="F25" s="30">
        <v>0</v>
      </c>
      <c r="G25" s="30">
        <v>0</v>
      </c>
      <c r="H25" s="30">
        <v>0</v>
      </c>
      <c r="I25" s="30">
        <v>0</v>
      </c>
      <c r="J25" s="32">
        <f t="shared" si="2"/>
        <v>14287</v>
      </c>
      <c r="K25" s="1"/>
      <c r="L25" s="1"/>
    </row>
    <row r="26" spans="1:12" ht="16.5">
      <c r="A26" s="29" t="s">
        <v>68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2">
        <f aca="true" t="shared" si="3" ref="J26:J38">SUM(B26:I26)</f>
        <v>0</v>
      </c>
      <c r="K26" s="1"/>
      <c r="L26" s="1"/>
    </row>
    <row r="27" spans="1:12" ht="16.5">
      <c r="A27" s="29" t="s">
        <v>67</v>
      </c>
      <c r="B27" s="30">
        <v>0</v>
      </c>
      <c r="C27" s="30">
        <v>0</v>
      </c>
      <c r="D27" s="30">
        <v>0</v>
      </c>
      <c r="E27" s="30">
        <f>4567.5+3627+2418+3045</f>
        <v>13657.5</v>
      </c>
      <c r="F27" s="30">
        <v>0</v>
      </c>
      <c r="G27" s="30">
        <v>0</v>
      </c>
      <c r="H27" s="30">
        <v>0</v>
      </c>
      <c r="I27" s="30">
        <v>0</v>
      </c>
      <c r="J27" s="32">
        <f t="shared" si="3"/>
        <v>13657.5</v>
      </c>
      <c r="K27" s="1"/>
      <c r="L27" s="1"/>
    </row>
    <row r="28" spans="1:12" ht="16.5">
      <c r="A28" s="29" t="s">
        <v>70</v>
      </c>
      <c r="B28" s="30">
        <v>0</v>
      </c>
      <c r="C28" s="30">
        <v>0</v>
      </c>
      <c r="D28" s="30">
        <v>0</v>
      </c>
      <c r="E28" s="30">
        <f>77.5+58900+73625</f>
        <v>132602.5</v>
      </c>
      <c r="F28" s="30">
        <v>0</v>
      </c>
      <c r="G28" s="30">
        <v>0</v>
      </c>
      <c r="H28" s="30">
        <v>0</v>
      </c>
      <c r="I28" s="30">
        <v>0</v>
      </c>
      <c r="J28" s="32">
        <f aca="true" t="shared" si="4" ref="J28:J34">SUM(B28:I28)</f>
        <v>132602.5</v>
      </c>
      <c r="K28" s="1"/>
      <c r="L28" s="1"/>
    </row>
    <row r="29" spans="1:12" ht="16.5">
      <c r="A29" s="29" t="s">
        <v>73</v>
      </c>
      <c r="B29" s="30">
        <v>0</v>
      </c>
      <c r="C29" s="30">
        <v>0</v>
      </c>
      <c r="D29" s="30">
        <v>0</v>
      </c>
      <c r="E29" s="30">
        <f>17028.68+51086.03</f>
        <v>68114.70999999999</v>
      </c>
      <c r="F29" s="30">
        <v>0</v>
      </c>
      <c r="G29" s="30">
        <v>0</v>
      </c>
      <c r="H29" s="30">
        <v>0</v>
      </c>
      <c r="I29" s="30">
        <v>0</v>
      </c>
      <c r="J29" s="32">
        <f t="shared" si="4"/>
        <v>68114.70999999999</v>
      </c>
      <c r="K29" s="1"/>
      <c r="L29" s="1"/>
    </row>
    <row r="30" spans="1:12" ht="16.5">
      <c r="A30" s="29" t="s">
        <v>79</v>
      </c>
      <c r="B30" s="30">
        <f>4763.25</f>
        <v>4763.25</v>
      </c>
      <c r="C30" s="30">
        <f>16755.21</f>
        <v>16755.21</v>
      </c>
      <c r="D30" s="30">
        <f>54574</f>
        <v>54574</v>
      </c>
      <c r="E30" s="30">
        <f>15477.46+23216.19</f>
        <v>38693.649999999994</v>
      </c>
      <c r="F30" s="30">
        <v>0</v>
      </c>
      <c r="G30" s="30">
        <v>0</v>
      </c>
      <c r="H30" s="30">
        <v>0</v>
      </c>
      <c r="I30" s="30">
        <v>0</v>
      </c>
      <c r="J30" s="32">
        <f t="shared" si="4"/>
        <v>114786.10999999999</v>
      </c>
      <c r="K30" s="1"/>
      <c r="L30" s="1"/>
    </row>
    <row r="31" spans="1:12" ht="16.5">
      <c r="A31" s="29" t="s">
        <v>81</v>
      </c>
      <c r="B31" s="30">
        <f>5193.27</f>
        <v>5193.27</v>
      </c>
      <c r="C31" s="30">
        <f>24938.84</f>
        <v>24938.84</v>
      </c>
      <c r="D31" s="30">
        <f>39891.32</f>
        <v>39891.32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2">
        <f t="shared" si="4"/>
        <v>70023.43</v>
      </c>
      <c r="K31" s="1"/>
      <c r="L31" s="1"/>
    </row>
    <row r="32" spans="1:12" ht="16.5">
      <c r="A32" s="29" t="s">
        <v>82</v>
      </c>
      <c r="B32" s="30">
        <f>2712.51</f>
        <v>2712.51</v>
      </c>
      <c r="C32" s="30">
        <f>3777.53</f>
        <v>3777.53</v>
      </c>
      <c r="D32" s="30">
        <f>8810</f>
        <v>8810</v>
      </c>
      <c r="E32" s="30">
        <f>45353+2201+1519</f>
        <v>49073</v>
      </c>
      <c r="F32" s="30">
        <v>0</v>
      </c>
      <c r="G32" s="30">
        <v>0</v>
      </c>
      <c r="H32" s="30">
        <v>0</v>
      </c>
      <c r="I32" s="30">
        <v>0</v>
      </c>
      <c r="J32" s="32">
        <f t="shared" si="4"/>
        <v>64373.04</v>
      </c>
      <c r="K32" s="1"/>
      <c r="L32" s="1"/>
    </row>
    <row r="33" spans="1:12" ht="16.5">
      <c r="A33" s="29" t="s">
        <v>83</v>
      </c>
      <c r="B33" s="30">
        <f>5624.28</f>
        <v>5624.28</v>
      </c>
      <c r="C33" s="30">
        <f>15143.65</f>
        <v>15143.65</v>
      </c>
      <c r="D33" s="30">
        <f>38178.52</f>
        <v>38178.52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2">
        <f t="shared" si="4"/>
        <v>58946.45</v>
      </c>
      <c r="K33" s="1"/>
      <c r="L33" s="1"/>
    </row>
    <row r="34" spans="1:12" ht="16.5">
      <c r="A34" s="29" t="s">
        <v>84</v>
      </c>
      <c r="B34" s="30">
        <f>5391.54+56</f>
        <v>5447.54</v>
      </c>
      <c r="C34" s="30">
        <f>7979.6</f>
        <v>7979.6</v>
      </c>
      <c r="D34" s="30">
        <f>21291.54+88</f>
        <v>21379.54</v>
      </c>
      <c r="E34" s="30">
        <v>0</v>
      </c>
      <c r="F34" s="30">
        <v>1924</v>
      </c>
      <c r="G34" s="30">
        <v>0</v>
      </c>
      <c r="H34" s="30">
        <v>0</v>
      </c>
      <c r="I34" s="30">
        <v>0</v>
      </c>
      <c r="J34" s="32">
        <f t="shared" si="4"/>
        <v>36730.68</v>
      </c>
      <c r="K34" s="1"/>
      <c r="L34" s="1"/>
    </row>
    <row r="35" spans="1:12" ht="16.5">
      <c r="A35" s="29" t="s">
        <v>77</v>
      </c>
      <c r="B35" s="30">
        <f>2420+2910.62+2015.91+3537.68+3696.17+3291.93+3389+3604.55+1933.97+3452+3389+2573+2597.48+3389+2597.48+3291.93</f>
        <v>48089.72000000001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2">
        <f t="shared" si="3"/>
        <v>48089.72000000001</v>
      </c>
      <c r="K35" s="1"/>
      <c r="L35" s="1"/>
    </row>
    <row r="36" spans="1:12" ht="16.5">
      <c r="A36" s="16" t="s">
        <v>26</v>
      </c>
      <c r="B36" s="30">
        <f>13337.45+533761.07+11392.63</f>
        <v>558491.1499999999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2">
        <f t="shared" si="3"/>
        <v>558491.1499999999</v>
      </c>
      <c r="K36" s="1"/>
      <c r="L36" s="1"/>
    </row>
    <row r="37" spans="1:12" ht="16.5">
      <c r="A37" s="22" t="s">
        <v>9</v>
      </c>
      <c r="B37" s="30">
        <f>112+56+112+56+56+504+56+112+56+168+224+301+56+56+392+112+112+56+112+112+56+224+56+112+56+373.66+112+56+56+56+56+168+56+168+112+56+280+56+448</f>
        <v>5378.66</v>
      </c>
      <c r="C37" s="30">
        <f>203.83+957.6+804.65+665+134.66+93.1+465.5+69.83+655.03+66.5+199.5+133+372.4+398.68+159.6+129.01+133+621.12+93.1+227.76+134.66+134.66+539.33+93.1+1299.78+505.42+1915.2+997.5+658.35+134.66+186.2+93.1+373.41+372.4+372.4+93.1+129.01+292.28+565.25+651.7+258.02+199.5+263.01+645.05+815.31+270.33</f>
        <v>18575.600000000006</v>
      </c>
      <c r="D37" s="30">
        <f>176+88+616+88+88+880+176+176+176+264+352+88+88+88+616+176+176+176+264+176+88+616+440+176+176+88+352+176+88+88+88+88+264+88+264+176+88+616+616+440</f>
        <v>9944</v>
      </c>
      <c r="E37" s="30">
        <f>630+35+35+140+560+1995+875+35+1438.5+595</f>
        <v>6338.5</v>
      </c>
      <c r="F37" s="30">
        <f>615.68+96.2+76.96+96.2+1997.06+365.56+865.8+115.44+1943.24+19.24</f>
        <v>6191.379999999999</v>
      </c>
      <c r="G37" s="30">
        <f>1149.53+94.01+55.3</f>
        <v>1298.84</v>
      </c>
      <c r="H37" s="30">
        <f>9.33+37.32+9.33+18.66+18.66+9.33</f>
        <v>102.63</v>
      </c>
      <c r="I37" s="30">
        <v>0</v>
      </c>
      <c r="J37" s="32">
        <f t="shared" si="3"/>
        <v>47829.61</v>
      </c>
      <c r="K37" s="1"/>
      <c r="L37" s="1"/>
    </row>
    <row r="38" spans="1:12" ht="16.5">
      <c r="A38" s="22" t="s">
        <v>19</v>
      </c>
      <c r="B38" s="30">
        <v>0</v>
      </c>
      <c r="C38" s="30">
        <v>0</v>
      </c>
      <c r="D38" s="30">
        <v>0</v>
      </c>
      <c r="E38" s="30">
        <f>70+63+4545+360+1440+4185+2250+462</f>
        <v>13375</v>
      </c>
      <c r="F38" s="30">
        <v>0</v>
      </c>
      <c r="G38" s="30">
        <v>0</v>
      </c>
      <c r="H38" s="30">
        <v>0</v>
      </c>
      <c r="I38" s="30">
        <v>0</v>
      </c>
      <c r="J38" s="32">
        <f t="shared" si="3"/>
        <v>13375</v>
      </c>
      <c r="K38" s="1"/>
      <c r="L38" s="1"/>
    </row>
    <row r="39" spans="1:12" ht="16.5">
      <c r="A39" s="16" t="s">
        <v>12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2">
        <f>198.74+72.25+744.1+7635.44+98.95+883.5+129.58+37.8+249.55+338.18+481.77</f>
        <v>10869.859999999999</v>
      </c>
      <c r="K39" s="1"/>
      <c r="L39" s="1"/>
    </row>
    <row r="40" spans="1:12" ht="16.5">
      <c r="A40" s="16" t="s">
        <v>18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2">
        <f>50+50+50+88.72+50</f>
        <v>288.72</v>
      </c>
      <c r="K40" s="1"/>
      <c r="L40" s="1"/>
    </row>
    <row r="41" spans="1:12" ht="16.5">
      <c r="A41" s="38" t="s">
        <v>22</v>
      </c>
      <c r="B41" s="39">
        <v>0</v>
      </c>
      <c r="C41" s="39">
        <v>0</v>
      </c>
      <c r="D41" s="39">
        <v>0</v>
      </c>
      <c r="E41" s="39">
        <f>78000+260000</f>
        <v>338000</v>
      </c>
      <c r="F41" s="39">
        <v>0</v>
      </c>
      <c r="G41" s="39">
        <v>0</v>
      </c>
      <c r="H41" s="39">
        <v>0</v>
      </c>
      <c r="I41" s="39">
        <v>0</v>
      </c>
      <c r="J41" s="32">
        <f>SUM(B41:I41)</f>
        <v>338000</v>
      </c>
      <c r="K41" s="1"/>
      <c r="L41" s="1"/>
    </row>
    <row r="42" spans="1:12" ht="17.25" thickBot="1">
      <c r="A42" s="36" t="s">
        <v>10</v>
      </c>
      <c r="B42" s="23">
        <f>SUM(B14:B41)</f>
        <v>635700.38</v>
      </c>
      <c r="C42" s="23">
        <f aca="true" t="shared" si="5" ref="C42:I42">SUM(C14:C41)</f>
        <v>87170.43000000001</v>
      </c>
      <c r="D42" s="23">
        <f t="shared" si="5"/>
        <v>172777.38</v>
      </c>
      <c r="E42" s="23">
        <f>SUM(E14:E41)</f>
        <v>1012556.3599999999</v>
      </c>
      <c r="F42" s="23">
        <f t="shared" si="5"/>
        <v>8115.379999999999</v>
      </c>
      <c r="G42" s="23">
        <f t="shared" si="5"/>
        <v>1298.84</v>
      </c>
      <c r="H42" s="23">
        <f t="shared" si="5"/>
        <v>102.63</v>
      </c>
      <c r="I42" s="23">
        <f t="shared" si="5"/>
        <v>0</v>
      </c>
      <c r="J42" s="32">
        <f>SUM(J14:J41)</f>
        <v>1928879.9799999997</v>
      </c>
      <c r="K42" s="1"/>
      <c r="L42" s="1"/>
    </row>
    <row r="43" spans="1:12" ht="17.25" thickBot="1">
      <c r="A43" s="37" t="s">
        <v>76</v>
      </c>
      <c r="B43" s="24">
        <f aca="true" t="shared" si="6" ref="B43:I43">B12+B42</f>
        <v>644687.32</v>
      </c>
      <c r="C43" s="24">
        <f t="shared" si="6"/>
        <v>110956.90000000001</v>
      </c>
      <c r="D43" s="24">
        <f t="shared" si="6"/>
        <v>204045.38</v>
      </c>
      <c r="E43" s="24">
        <f t="shared" si="6"/>
        <v>1036687.1699999999</v>
      </c>
      <c r="F43" s="24">
        <f t="shared" si="6"/>
        <v>13752.699999999999</v>
      </c>
      <c r="G43" s="24">
        <f t="shared" si="6"/>
        <v>1298.84</v>
      </c>
      <c r="H43" s="24">
        <f t="shared" si="6"/>
        <v>102.63</v>
      </c>
      <c r="I43" s="24">
        <f t="shared" si="6"/>
        <v>0</v>
      </c>
      <c r="J43" s="25">
        <f>SUM(J42+J12)</f>
        <v>2022689.5199999998</v>
      </c>
      <c r="K43" s="1"/>
      <c r="L43" s="17"/>
    </row>
    <row r="44" ht="16.5">
      <c r="J44" s="33"/>
    </row>
    <row r="45" spans="2:10" ht="16.5">
      <c r="B45" s="33"/>
      <c r="J45" s="33"/>
    </row>
    <row r="46" spans="2:10" ht="16.5">
      <c r="B46" s="33"/>
      <c r="F46" s="33"/>
      <c r="J46" s="33"/>
    </row>
  </sheetData>
  <sheetProtection password="C1E2" sheet="1"/>
  <mergeCells count="4">
    <mergeCell ref="A3:K3"/>
    <mergeCell ref="A4:K4"/>
    <mergeCell ref="A5:K5"/>
    <mergeCell ref="A7:J7"/>
  </mergeCells>
  <printOptions horizontalCentered="1"/>
  <pageMargins left="0.11811023622047245" right="0.11811023622047245" top="1.1811023622047245" bottom="0.7874015748031497" header="0.31496062992125984" footer="0.31496062992125984"/>
  <pageSetup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75" zoomScaleNormal="75" zoomScalePageLayoutView="0" workbookViewId="0" topLeftCell="A1">
      <pane ySplit="8" topLeftCell="A9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75.00390625" style="7" customWidth="1"/>
    <col min="2" max="2" width="19.140625" style="7" customWidth="1"/>
    <col min="3" max="3" width="20.57421875" style="7" bestFit="1" customWidth="1"/>
    <col min="4" max="4" width="21.57421875" style="7" bestFit="1" customWidth="1"/>
    <col min="5" max="5" width="21.140625" style="7" bestFit="1" customWidth="1"/>
    <col min="6" max="6" width="18.00390625" style="7" bestFit="1" customWidth="1"/>
    <col min="7" max="7" width="15.8515625" style="7" bestFit="1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8910</v>
      </c>
      <c r="D1" s="28">
        <v>9106</v>
      </c>
      <c r="E1" s="20" t="s">
        <v>16</v>
      </c>
      <c r="F1" s="28" t="s">
        <v>93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1412</v>
      </c>
      <c r="D2" s="8">
        <v>1444</v>
      </c>
      <c r="E2" s="20" t="s">
        <v>16</v>
      </c>
      <c r="F2" s="8" t="s">
        <v>92</v>
      </c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85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33">
      <c r="A8" s="21" t="s">
        <v>102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f>1973.55+840.05+730.23+1131.74+2520.15+254.8+1396.5+465.5+840.05+1331.37</f>
        <v>11483.939999999999</v>
      </c>
      <c r="C9" s="2">
        <f>3230.56+1284.78+415.89+2446.2+2569.56+305.9+1197+239.4+856.52+6636.7</f>
        <v>19182.51</v>
      </c>
      <c r="D9" s="2">
        <f>2202+1101+6606+4404+88+8808</f>
        <v>23209</v>
      </c>
      <c r="E9" s="2">
        <f>6148.27</f>
        <v>6148.27</v>
      </c>
      <c r="F9" s="2">
        <f>1231.36+846.56+461.76+1924+2097.16</f>
        <v>6560.84</v>
      </c>
      <c r="G9" s="2">
        <v>0</v>
      </c>
      <c r="H9" s="2">
        <v>0</v>
      </c>
      <c r="I9" s="2">
        <v>0</v>
      </c>
      <c r="J9" s="3">
        <f>SUM(B9:I9)</f>
        <v>66584.56</v>
      </c>
      <c r="K9" s="1"/>
    </row>
    <row r="10" spans="1:11" ht="16.5">
      <c r="A10" s="29" t="s">
        <v>46</v>
      </c>
      <c r="B10" s="2">
        <v>0</v>
      </c>
      <c r="C10" s="2">
        <v>0</v>
      </c>
      <c r="D10" s="2">
        <v>0</v>
      </c>
      <c r="E10" s="2">
        <f>22139.71+11849.64</f>
        <v>33989.35</v>
      </c>
      <c r="F10" s="2">
        <v>0</v>
      </c>
      <c r="G10" s="2">
        <v>0</v>
      </c>
      <c r="H10" s="2">
        <v>0</v>
      </c>
      <c r="I10" s="2">
        <v>0</v>
      </c>
      <c r="J10" s="3">
        <f>SUM(B10:I10)</f>
        <v>33989.35</v>
      </c>
      <c r="K10" s="1"/>
    </row>
    <row r="11" spans="1:11" ht="16.5">
      <c r="A11" s="29" t="s">
        <v>100</v>
      </c>
      <c r="B11" s="2">
        <v>842.77</v>
      </c>
      <c r="C11" s="2">
        <v>4488.75</v>
      </c>
      <c r="D11" s="2">
        <v>2202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3">
        <f>SUM(B11:I11)</f>
        <v>7533.52</v>
      </c>
      <c r="K11" s="1"/>
    </row>
    <row r="12" spans="1:11" ht="16.5">
      <c r="A12" s="21" t="s">
        <v>8</v>
      </c>
      <c r="B12" s="4">
        <f aca="true" t="shared" si="0" ref="B12:J12">SUM(B9:B11)</f>
        <v>12326.71</v>
      </c>
      <c r="C12" s="4">
        <f t="shared" si="0"/>
        <v>23671.26</v>
      </c>
      <c r="D12" s="4">
        <f t="shared" si="0"/>
        <v>25411</v>
      </c>
      <c r="E12" s="40">
        <f t="shared" si="0"/>
        <v>40137.619999999995</v>
      </c>
      <c r="F12" s="4">
        <f t="shared" si="0"/>
        <v>6560.84</v>
      </c>
      <c r="G12" s="4">
        <f t="shared" si="0"/>
        <v>0</v>
      </c>
      <c r="H12" s="4">
        <f t="shared" si="0"/>
        <v>0</v>
      </c>
      <c r="I12" s="4">
        <f t="shared" si="0"/>
        <v>0</v>
      </c>
      <c r="J12" s="4">
        <f t="shared" si="0"/>
        <v>108107.43000000001</v>
      </c>
      <c r="K12" s="15"/>
    </row>
    <row r="13" spans="1:11" ht="33">
      <c r="A13" s="21" t="s">
        <v>13</v>
      </c>
      <c r="B13" s="34" t="s">
        <v>0</v>
      </c>
      <c r="C13" s="34" t="s">
        <v>1</v>
      </c>
      <c r="D13" s="34" t="s">
        <v>2</v>
      </c>
      <c r="E13" s="34" t="s">
        <v>3</v>
      </c>
      <c r="F13" s="35" t="s">
        <v>4</v>
      </c>
      <c r="G13" s="35" t="s">
        <v>5</v>
      </c>
      <c r="H13" s="35" t="s">
        <v>6</v>
      </c>
      <c r="I13" s="35" t="s">
        <v>7</v>
      </c>
      <c r="J13" s="5" t="s">
        <v>14</v>
      </c>
      <c r="K13" s="1"/>
    </row>
    <row r="14" spans="1:11" ht="16.5">
      <c r="A14" s="6" t="s">
        <v>101</v>
      </c>
      <c r="B14" s="31">
        <f>1034.53</f>
        <v>1034.53</v>
      </c>
      <c r="C14" s="31">
        <f>8165.53+197.5+14656.6</f>
        <v>23019.629999999997</v>
      </c>
      <c r="D14" s="31">
        <f>1101+3303</f>
        <v>4404</v>
      </c>
      <c r="E14" s="31">
        <f>2586+9051</f>
        <v>11637</v>
      </c>
      <c r="F14" s="44">
        <v>0</v>
      </c>
      <c r="G14" s="44">
        <v>0</v>
      </c>
      <c r="H14" s="44">
        <v>0</v>
      </c>
      <c r="I14" s="44">
        <v>0</v>
      </c>
      <c r="J14" s="5">
        <f aca="true" t="shared" si="1" ref="J14:J21">SUM(B14:I14)</f>
        <v>40095.159999999996</v>
      </c>
      <c r="K14" s="1"/>
    </row>
    <row r="15" spans="1:11" ht="16.5">
      <c r="A15" s="6" t="s">
        <v>20</v>
      </c>
      <c r="B15" s="31">
        <v>0</v>
      </c>
      <c r="C15" s="31">
        <v>0</v>
      </c>
      <c r="D15" s="31">
        <v>0</v>
      </c>
      <c r="E15" s="31">
        <f>4703.08</f>
        <v>4703.08</v>
      </c>
      <c r="F15" s="31">
        <f>0</f>
        <v>0</v>
      </c>
      <c r="G15" s="31">
        <f>0</f>
        <v>0</v>
      </c>
      <c r="H15" s="31">
        <f>0</f>
        <v>0</v>
      </c>
      <c r="I15" s="31">
        <f>0</f>
        <v>0</v>
      </c>
      <c r="J15" s="32">
        <f t="shared" si="1"/>
        <v>4703.08</v>
      </c>
      <c r="K15" s="1"/>
    </row>
    <row r="16" spans="1:11" ht="16.5">
      <c r="A16" s="6" t="s">
        <v>25</v>
      </c>
      <c r="B16" s="31">
        <v>0</v>
      </c>
      <c r="C16" s="31">
        <v>0</v>
      </c>
      <c r="D16" s="31">
        <v>0</v>
      </c>
      <c r="E16" s="31">
        <f>42085.56+18491.92+70</f>
        <v>60647.479999999996</v>
      </c>
      <c r="F16" s="31">
        <v>0</v>
      </c>
      <c r="G16" s="31">
        <v>0</v>
      </c>
      <c r="H16" s="31">
        <v>0</v>
      </c>
      <c r="I16" s="31">
        <v>0</v>
      </c>
      <c r="J16" s="32">
        <f t="shared" si="1"/>
        <v>60647.479999999996</v>
      </c>
      <c r="K16" s="1"/>
    </row>
    <row r="17" spans="1:12" ht="16.5">
      <c r="A17" s="29" t="s">
        <v>30</v>
      </c>
      <c r="B17" s="30">
        <v>0</v>
      </c>
      <c r="C17" s="30">
        <v>0</v>
      </c>
      <c r="D17" s="30">
        <v>0</v>
      </c>
      <c r="E17" s="30">
        <f>63207.99</f>
        <v>63207.99</v>
      </c>
      <c r="F17" s="30">
        <v>0</v>
      </c>
      <c r="G17" s="30">
        <v>0</v>
      </c>
      <c r="H17" s="30">
        <v>0</v>
      </c>
      <c r="I17" s="30">
        <v>0</v>
      </c>
      <c r="J17" s="32">
        <f t="shared" si="1"/>
        <v>63207.99</v>
      </c>
      <c r="K17" s="1"/>
      <c r="L17" s="1"/>
    </row>
    <row r="18" spans="1:12" ht="16.5">
      <c r="A18" s="29" t="s">
        <v>43</v>
      </c>
      <c r="B18" s="30">
        <v>0</v>
      </c>
      <c r="C18" s="30">
        <v>0</v>
      </c>
      <c r="D18" s="30">
        <v>0</v>
      </c>
      <c r="E18" s="30">
        <f>57157.15+68633.58</f>
        <v>125790.73000000001</v>
      </c>
      <c r="F18" s="30">
        <v>0</v>
      </c>
      <c r="G18" s="30">
        <v>0</v>
      </c>
      <c r="H18" s="30">
        <v>0</v>
      </c>
      <c r="I18" s="30">
        <v>0</v>
      </c>
      <c r="J18" s="32">
        <f t="shared" si="1"/>
        <v>125790.73000000001</v>
      </c>
      <c r="K18" s="1"/>
      <c r="L18" s="1"/>
    </row>
    <row r="19" spans="1:12" ht="16.5">
      <c r="A19" s="29" t="s">
        <v>56</v>
      </c>
      <c r="B19" s="30">
        <v>0</v>
      </c>
      <c r="C19" s="30">
        <v>0</v>
      </c>
      <c r="D19" s="30">
        <v>0</v>
      </c>
      <c r="E19" s="30">
        <f>51118.62</f>
        <v>51118.62</v>
      </c>
      <c r="F19" s="30">
        <v>0</v>
      </c>
      <c r="G19" s="30">
        <v>0</v>
      </c>
      <c r="H19" s="30">
        <v>0</v>
      </c>
      <c r="I19" s="30">
        <v>0</v>
      </c>
      <c r="J19" s="32">
        <f t="shared" si="1"/>
        <v>51118.62</v>
      </c>
      <c r="K19" s="1"/>
      <c r="L19" s="1"/>
    </row>
    <row r="20" spans="1:12" ht="16.5">
      <c r="A20" s="29" t="s">
        <v>64</v>
      </c>
      <c r="B20" s="30">
        <v>0</v>
      </c>
      <c r="C20" s="30">
        <v>0</v>
      </c>
      <c r="D20" s="30">
        <v>0</v>
      </c>
      <c r="E20" s="30">
        <f>1339.2+2721.6</f>
        <v>4060.8</v>
      </c>
      <c r="F20" s="30">
        <v>0</v>
      </c>
      <c r="G20" s="30">
        <v>0</v>
      </c>
      <c r="H20" s="30">
        <v>0</v>
      </c>
      <c r="I20" s="30">
        <v>0</v>
      </c>
      <c r="J20" s="32">
        <f t="shared" si="1"/>
        <v>4060.8</v>
      </c>
      <c r="K20" s="1"/>
      <c r="L20" s="1"/>
    </row>
    <row r="21" spans="1:12" ht="16.5">
      <c r="A21" s="29" t="s">
        <v>67</v>
      </c>
      <c r="B21" s="30">
        <v>0</v>
      </c>
      <c r="C21" s="30">
        <v>0</v>
      </c>
      <c r="D21" s="30">
        <v>0</v>
      </c>
      <c r="E21" s="30">
        <f>2901.6+3654</f>
        <v>6555.6</v>
      </c>
      <c r="F21" s="30">
        <v>0</v>
      </c>
      <c r="G21" s="30">
        <v>0</v>
      </c>
      <c r="H21" s="30">
        <v>0</v>
      </c>
      <c r="I21" s="30">
        <v>0</v>
      </c>
      <c r="J21" s="32">
        <f t="shared" si="1"/>
        <v>6555.6</v>
      </c>
      <c r="K21" s="1"/>
      <c r="L21" s="1"/>
    </row>
    <row r="22" spans="1:12" ht="16.5">
      <c r="A22" s="29" t="s">
        <v>70</v>
      </c>
      <c r="B22" s="30">
        <v>0</v>
      </c>
      <c r="C22" s="30">
        <v>0</v>
      </c>
      <c r="D22" s="30">
        <v>0</v>
      </c>
      <c r="E22" s="30">
        <f>109275</f>
        <v>109275</v>
      </c>
      <c r="F22" s="30">
        <v>0</v>
      </c>
      <c r="G22" s="30">
        <v>0</v>
      </c>
      <c r="H22" s="30">
        <v>0</v>
      </c>
      <c r="I22" s="30">
        <v>0</v>
      </c>
      <c r="J22" s="32">
        <f aca="true" t="shared" si="2" ref="J22:J27">SUM(B22:I22)</f>
        <v>109275</v>
      </c>
      <c r="K22" s="1"/>
      <c r="L22" s="1"/>
    </row>
    <row r="23" spans="1:12" ht="16.5">
      <c r="A23" s="29" t="s">
        <v>73</v>
      </c>
      <c r="B23" s="30">
        <v>0</v>
      </c>
      <c r="C23" s="30">
        <v>0</v>
      </c>
      <c r="D23" s="30">
        <v>0</v>
      </c>
      <c r="E23" s="30">
        <f>34057.35+40891.99</f>
        <v>74949.34</v>
      </c>
      <c r="F23" s="30">
        <v>0</v>
      </c>
      <c r="G23" s="30">
        <v>0</v>
      </c>
      <c r="H23" s="30">
        <v>0</v>
      </c>
      <c r="I23" s="30">
        <v>0</v>
      </c>
      <c r="J23" s="32">
        <f t="shared" si="2"/>
        <v>74949.34</v>
      </c>
      <c r="K23" s="1"/>
      <c r="L23" s="1"/>
    </row>
    <row r="24" spans="1:12" ht="16.5">
      <c r="A24" s="29" t="s">
        <v>79</v>
      </c>
      <c r="B24" s="30">
        <v>0</v>
      </c>
      <c r="C24" s="30">
        <v>0</v>
      </c>
      <c r="D24" s="30">
        <v>0</v>
      </c>
      <c r="E24" s="30">
        <f>10329.83</f>
        <v>10329.83</v>
      </c>
      <c r="F24" s="30">
        <v>0</v>
      </c>
      <c r="G24" s="30">
        <v>0</v>
      </c>
      <c r="H24" s="30">
        <v>0</v>
      </c>
      <c r="I24" s="30">
        <v>0</v>
      </c>
      <c r="J24" s="32">
        <f t="shared" si="2"/>
        <v>10329.83</v>
      </c>
      <c r="K24" s="1"/>
      <c r="L24" s="1"/>
    </row>
    <row r="25" spans="1:12" ht="16.5">
      <c r="A25" s="29" t="s">
        <v>87</v>
      </c>
      <c r="B25" s="30">
        <f>2986.65+112</f>
        <v>3098.65</v>
      </c>
      <c r="C25" s="30">
        <f>20249.25</f>
        <v>20249.25</v>
      </c>
      <c r="D25" s="30">
        <f>59715.18+176</f>
        <v>59891.18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2">
        <f t="shared" si="2"/>
        <v>83239.08</v>
      </c>
      <c r="K25" s="1"/>
      <c r="L25" s="1"/>
    </row>
    <row r="26" spans="1:12" ht="16.5">
      <c r="A26" s="29" t="s">
        <v>88</v>
      </c>
      <c r="B26" s="30">
        <f>5629.68</f>
        <v>5629.68</v>
      </c>
      <c r="C26" s="30">
        <f>12779.31</f>
        <v>12779.31</v>
      </c>
      <c r="D26" s="30">
        <f>44050</f>
        <v>44050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2">
        <f t="shared" si="2"/>
        <v>62458.99</v>
      </c>
      <c r="K26" s="1"/>
      <c r="L26" s="1"/>
    </row>
    <row r="27" spans="1:12" ht="16.5">
      <c r="A27" s="29" t="s">
        <v>94</v>
      </c>
      <c r="B27" s="30">
        <f>5649.93+112</f>
        <v>5761.93</v>
      </c>
      <c r="C27" s="30">
        <f>15142.05</f>
        <v>15142.05</v>
      </c>
      <c r="D27" s="30">
        <f>35240+176</f>
        <v>35416</v>
      </c>
      <c r="E27" s="30">
        <v>0</v>
      </c>
      <c r="F27" s="30">
        <f>1981.72</f>
        <v>1981.72</v>
      </c>
      <c r="G27" s="30">
        <v>0</v>
      </c>
      <c r="H27" s="30">
        <v>0</v>
      </c>
      <c r="I27" s="30">
        <v>0</v>
      </c>
      <c r="J27" s="32">
        <f t="shared" si="2"/>
        <v>58301.7</v>
      </c>
      <c r="K27" s="1"/>
      <c r="L27" s="1"/>
    </row>
    <row r="28" spans="1:12" ht="16.5">
      <c r="A28" s="29" t="s">
        <v>96</v>
      </c>
      <c r="B28" s="30">
        <f>2670.93</f>
        <v>2670.93</v>
      </c>
      <c r="C28" s="30">
        <f>10747.86</f>
        <v>10747.86</v>
      </c>
      <c r="D28" s="30">
        <f>30835</f>
        <v>30835</v>
      </c>
      <c r="E28" s="30">
        <f>52994+18600+12753+11749+1271+62223.5+72850+110236</f>
        <v>342676.5</v>
      </c>
      <c r="F28" s="30">
        <f>3463.2</f>
        <v>3463.2</v>
      </c>
      <c r="G28" s="30">
        <v>0</v>
      </c>
      <c r="H28" s="30">
        <v>0</v>
      </c>
      <c r="I28" s="30">
        <v>0</v>
      </c>
      <c r="J28" s="32">
        <f aca="true" t="shared" si="3" ref="J28:J37">SUM(B28:I28)</f>
        <v>390393.49</v>
      </c>
      <c r="K28" s="1"/>
      <c r="L28" s="1"/>
    </row>
    <row r="29" spans="1:12" ht="16.5">
      <c r="A29" s="29" t="s">
        <v>95</v>
      </c>
      <c r="B29" s="30">
        <f>2463.48</f>
        <v>2463.48</v>
      </c>
      <c r="C29" s="30">
        <f>10098.37</f>
        <v>10098.37</v>
      </c>
      <c r="D29" s="30">
        <f>176+17620</f>
        <v>17796</v>
      </c>
      <c r="E29" s="30">
        <f>385+2194.74</f>
        <v>2579.74</v>
      </c>
      <c r="F29" s="30">
        <v>0</v>
      </c>
      <c r="G29" s="30">
        <v>0</v>
      </c>
      <c r="H29" s="30">
        <v>0</v>
      </c>
      <c r="I29" s="30">
        <v>0</v>
      </c>
      <c r="J29" s="32">
        <f>SUM(B29:I29)</f>
        <v>32937.59</v>
      </c>
      <c r="K29" s="1"/>
      <c r="L29" s="1"/>
    </row>
    <row r="30" spans="1:12" ht="16.5">
      <c r="A30" s="29" t="s">
        <v>97</v>
      </c>
      <c r="B30" s="30">
        <f>4219.02</f>
        <v>4219.02</v>
      </c>
      <c r="C30" s="30">
        <f>10767.02</f>
        <v>10767.02</v>
      </c>
      <c r="D30" s="30">
        <f>35240</f>
        <v>35240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2">
        <f>SUM(B30:I30)</f>
        <v>50226.04</v>
      </c>
      <c r="K30" s="1"/>
      <c r="L30" s="1"/>
    </row>
    <row r="31" spans="1:12" ht="16.5">
      <c r="A31" s="29" t="s">
        <v>98</v>
      </c>
      <c r="B31" s="30">
        <f>1862.6</f>
        <v>1862.6</v>
      </c>
      <c r="C31" s="30">
        <f>6929.3</f>
        <v>6929.3</v>
      </c>
      <c r="D31" s="30">
        <f>8810+4405</f>
        <v>13215</v>
      </c>
      <c r="E31" s="30">
        <f>1680</f>
        <v>1680</v>
      </c>
      <c r="F31" s="30">
        <v>0</v>
      </c>
      <c r="G31" s="30">
        <v>0</v>
      </c>
      <c r="H31" s="30">
        <v>0</v>
      </c>
      <c r="I31" s="30">
        <v>0</v>
      </c>
      <c r="J31" s="32">
        <f>SUM(B31:I31)</f>
        <v>23686.9</v>
      </c>
      <c r="K31" s="1"/>
      <c r="L31" s="1"/>
    </row>
    <row r="32" spans="1:12" ht="16.5">
      <c r="A32" s="29" t="s">
        <v>99</v>
      </c>
      <c r="B32" s="30">
        <f>2617.2</f>
        <v>2617.2</v>
      </c>
      <c r="C32" s="30">
        <f>3062.72</f>
        <v>3062.72</v>
      </c>
      <c r="D32" s="30">
        <f>8810</f>
        <v>8810</v>
      </c>
      <c r="E32" s="30">
        <f>805+271.15</f>
        <v>1076.15</v>
      </c>
      <c r="F32" s="30">
        <v>0</v>
      </c>
      <c r="G32" s="30">
        <v>0</v>
      </c>
      <c r="H32" s="30">
        <v>0</v>
      </c>
      <c r="I32" s="30">
        <v>0</v>
      </c>
      <c r="J32" s="32">
        <f>SUM(B32:I32)</f>
        <v>15566.07</v>
      </c>
      <c r="K32" s="1"/>
      <c r="L32" s="1"/>
    </row>
    <row r="33" spans="1:12" ht="16.5">
      <c r="A33" s="29" t="s">
        <v>91</v>
      </c>
      <c r="B33" s="30">
        <v>0</v>
      </c>
      <c r="C33" s="30">
        <v>0</v>
      </c>
      <c r="D33" s="30">
        <v>0</v>
      </c>
      <c r="E33" s="30">
        <f>63844.5+203902.5</f>
        <v>267747</v>
      </c>
      <c r="F33" s="30">
        <v>0</v>
      </c>
      <c r="G33" s="30">
        <v>0</v>
      </c>
      <c r="H33" s="30">
        <v>0</v>
      </c>
      <c r="I33" s="30">
        <v>0</v>
      </c>
      <c r="J33" s="32">
        <f t="shared" si="3"/>
        <v>267747</v>
      </c>
      <c r="K33" s="1"/>
      <c r="L33" s="1"/>
    </row>
    <row r="34" spans="1:12" ht="16.5">
      <c r="A34" s="29" t="s">
        <v>89</v>
      </c>
      <c r="B34" s="30">
        <f>3291.93+2597.48+3389+2573+2597.48+2573</f>
        <v>17021.89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2">
        <f t="shared" si="3"/>
        <v>17021.89</v>
      </c>
      <c r="K34" s="1"/>
      <c r="L34" s="1"/>
    </row>
    <row r="35" spans="1:12" ht="16.5">
      <c r="A35" s="16" t="s">
        <v>26</v>
      </c>
      <c r="B35" s="30">
        <f>602379.21+5457.78+6094.89</f>
        <v>613931.88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2">
        <f t="shared" si="3"/>
        <v>613931.88</v>
      </c>
      <c r="K35" s="1"/>
      <c r="L35" s="1"/>
    </row>
    <row r="36" spans="1:12" ht="16.5">
      <c r="A36" s="22" t="s">
        <v>9</v>
      </c>
      <c r="B36" s="30">
        <f>56+56+355.6+56+56+112+168+56+56+168+56+112+168+112+224+112+168+168+56+56+56+112+56+448+112+56+56+224+56+168+457.8+844.2+168+56+392+224+56+224+56+56+168+112+56+56+56+56+35+56+168+56+56+112+56+168+56+392+112+224+56+448+168+56+56+280+56+56+56+56+56+112+56+56+56+56+280+224+56+56+56+56+56</f>
        <v>10708.599999999999</v>
      </c>
      <c r="C36" s="30">
        <f>66.5+279.3+190.86+93.1+134.66+93.1+263.01+95.1+93.1+645.05+399.33+134.66+134.66+269.32+227.76+455.52+693.26+227.76+227.76+134.66+93.1+93.1+1755.6+1609.3+665+628.44+1047.41+134.66+93.1+651.7+186.2+93.1+186.2+134.66+258.02+540+616.46+516.04+66.5+229.1+402.66+129.01+1036.1+129.01+279.3+258.02+1197+1170.4+997.5+134.66+186.2+93.1+93.1+558.6+93.1+320.86+186.2+46.55+227.76+773.06+918.04+134+134.99+650.04+338.5+698.25+465.5+186.2+93.1+575.89+129.01+66.5+186.2+93.1+93.1+93.1+134.66+134.66+134.66+93.1+134.66+5834.18+134+931+435.11+1835.4+950.95+129.01+46.55+129.01+134.66+134.66</f>
        <v>38950.14000000001</v>
      </c>
      <c r="D36" s="30">
        <f>88+88+88+88+176+176+352+88+88+792+88+264+440+176+704+264+352+440+264+88+264+704+176+704+176+88+88+352+88+264+352+264+352+176+616+352+792+352+88+88+264+176+88+264+264+264+88+88+264+176+264+616+352+264+792+880+792+616+704+264+88+88+440+176+176+264+176+88+176+176+176+440+176+616+251.5+440+352+88+176+88+88+88</f>
        <v>23747.5</v>
      </c>
      <c r="E36" s="30">
        <f>245+1155+35+1442+280+5250+70+9817.5+14962.5+35+315+595+35+315+2152.5+382483.01+385+805+1505+2817.5+245+262.5+350+1068.2+2450+385+3815+245+525+4235+2275+332.5+87.5+4935+175+1557.5+35+437.5+157.5+420+3272.5+70+997.5+305139.62+420</f>
        <v>758592.8300000001</v>
      </c>
      <c r="F36" s="30">
        <f>6503.12+2154.88+461.76+404.04+250.12+2303.76</f>
        <v>12077.680000000002</v>
      </c>
      <c r="G36" s="30">
        <f>294.67+995.26</f>
        <v>1289.93</v>
      </c>
      <c r="H36" s="30">
        <f>18.66+9.33+18.66+18.66+9.33+18.66+37.32+27.99+9.33</f>
        <v>167.94000000000003</v>
      </c>
      <c r="I36" s="30">
        <v>0</v>
      </c>
      <c r="J36" s="32">
        <f t="shared" si="3"/>
        <v>845534.6200000001</v>
      </c>
      <c r="K36" s="1"/>
      <c r="L36" s="1"/>
    </row>
    <row r="37" spans="1:12" ht="16.5">
      <c r="A37" s="22" t="s">
        <v>19</v>
      </c>
      <c r="B37" s="30">
        <v>0</v>
      </c>
      <c r="C37" s="30">
        <v>0</v>
      </c>
      <c r="D37" s="30">
        <v>0</v>
      </c>
      <c r="E37" s="30">
        <f>4905+360+1440+4410+2250+726</f>
        <v>14091</v>
      </c>
      <c r="F37" s="30">
        <v>0</v>
      </c>
      <c r="G37" s="30">
        <v>0</v>
      </c>
      <c r="H37" s="30">
        <v>0</v>
      </c>
      <c r="I37" s="30">
        <v>0</v>
      </c>
      <c r="J37" s="32">
        <f t="shared" si="3"/>
        <v>14091</v>
      </c>
      <c r="K37" s="1"/>
      <c r="L37" s="1"/>
    </row>
    <row r="38" spans="1:12" ht="16.5">
      <c r="A38" s="22" t="s">
        <v>90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2">
        <v>5068</v>
      </c>
      <c r="K38" s="1"/>
      <c r="L38" s="1"/>
    </row>
    <row r="39" spans="1:12" ht="16.5">
      <c r="A39" s="16" t="s">
        <v>12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2">
        <f>80.43+45+983.47+31559.3+39.94+128.54+57.45+66.82</f>
        <v>32960.95</v>
      </c>
      <c r="K39" s="1"/>
      <c r="L39" s="1"/>
    </row>
    <row r="40" spans="1:12" ht="16.5">
      <c r="A40" s="16" t="s">
        <v>18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2">
        <f>50+50+50+50+50+50+50+88.72+50+100</f>
        <v>588.72</v>
      </c>
      <c r="K40" s="1"/>
      <c r="L40" s="1"/>
    </row>
    <row r="41" spans="1:12" ht="16.5">
      <c r="A41" s="38" t="s">
        <v>22</v>
      </c>
      <c r="B41" s="39">
        <v>0</v>
      </c>
      <c r="C41" s="39">
        <v>0</v>
      </c>
      <c r="D41" s="39">
        <v>0</v>
      </c>
      <c r="E41" s="39">
        <f>78000+260000</f>
        <v>338000</v>
      </c>
      <c r="F41" s="39">
        <v>0</v>
      </c>
      <c r="G41" s="39">
        <v>0</v>
      </c>
      <c r="H41" s="39">
        <v>0</v>
      </c>
      <c r="I41" s="39">
        <v>0</v>
      </c>
      <c r="J41" s="32">
        <f>SUM(B41:I41)</f>
        <v>338000</v>
      </c>
      <c r="K41" s="1"/>
      <c r="L41" s="1"/>
    </row>
    <row r="42" spans="1:12" ht="17.25" thickBot="1">
      <c r="A42" s="36" t="s">
        <v>10</v>
      </c>
      <c r="B42" s="23">
        <f>SUM(B14:B41)</f>
        <v>671020.39</v>
      </c>
      <c r="C42" s="23">
        <f>SUM(C14:C41)</f>
        <v>151745.65</v>
      </c>
      <c r="D42" s="23">
        <f>SUM(D14:D41)</f>
        <v>273404.68</v>
      </c>
      <c r="E42" s="23">
        <f>SUM(E14:E41)</f>
        <v>2248718.69</v>
      </c>
      <c r="F42" s="23">
        <f>SUM(F15:F41)</f>
        <v>17522.600000000002</v>
      </c>
      <c r="G42" s="23">
        <f>SUM(G15:G41)</f>
        <v>1289.93</v>
      </c>
      <c r="H42" s="23">
        <f>SUM(H15:H41)</f>
        <v>167.94000000000003</v>
      </c>
      <c r="I42" s="23">
        <f>SUM(I15:I41)</f>
        <v>0</v>
      </c>
      <c r="J42" s="32">
        <f>SUM(J14:J41)</f>
        <v>3402487.5500000003</v>
      </c>
      <c r="K42" s="1"/>
      <c r="L42" s="1"/>
    </row>
    <row r="43" spans="1:12" ht="17.25" thickBot="1">
      <c r="A43" s="37" t="s">
        <v>86</v>
      </c>
      <c r="B43" s="24">
        <f>B12+B42</f>
        <v>683347.1</v>
      </c>
      <c r="C43" s="24">
        <f>C12+C42</f>
        <v>175416.91</v>
      </c>
      <c r="D43" s="24">
        <f aca="true" t="shared" si="4" ref="D43:I43">D12+D42</f>
        <v>298815.68</v>
      </c>
      <c r="E43" s="24">
        <f t="shared" si="4"/>
        <v>2288856.31</v>
      </c>
      <c r="F43" s="24">
        <f t="shared" si="4"/>
        <v>24083.440000000002</v>
      </c>
      <c r="G43" s="24">
        <f t="shared" si="4"/>
        <v>1289.93</v>
      </c>
      <c r="H43" s="24">
        <f t="shared" si="4"/>
        <v>167.94000000000003</v>
      </c>
      <c r="I43" s="24">
        <f t="shared" si="4"/>
        <v>0</v>
      </c>
      <c r="J43" s="25">
        <f>SUM(J42+J12)</f>
        <v>3510594.9800000004</v>
      </c>
      <c r="K43" s="1"/>
      <c r="L43" s="17"/>
    </row>
    <row r="44" spans="2:10" ht="16.5">
      <c r="B44" s="45"/>
      <c r="C44" s="45"/>
      <c r="D44" s="45"/>
      <c r="E44" s="45"/>
      <c r="J44" s="33"/>
    </row>
    <row r="45" spans="2:10" ht="16.5">
      <c r="B45" s="33"/>
      <c r="J45" s="33"/>
    </row>
    <row r="46" spans="2:10" ht="16.5">
      <c r="B46" s="33"/>
      <c r="C46" s="33"/>
      <c r="F46" s="33"/>
      <c r="J46" s="33"/>
    </row>
  </sheetData>
  <sheetProtection password="C1E2" sheet="1"/>
  <mergeCells count="4">
    <mergeCell ref="A3:K3"/>
    <mergeCell ref="A4:K4"/>
    <mergeCell ref="A5:K5"/>
    <mergeCell ref="A7:J7"/>
  </mergeCells>
  <printOptions horizontalCentered="1" verticalCentered="1"/>
  <pageMargins left="0.3937007874015748" right="0.11811023622047245" top="1.3779527559055118" bottom="0.7874015748031497" header="0.31496062992125984" footer="0.31496062992125984"/>
  <pageSetup horizontalDpi="600" verticalDpi="6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="75" zoomScaleNormal="75" zoomScalePageLayoutView="0" workbookViewId="0" topLeftCell="A1">
      <pane ySplit="8" topLeftCell="A33" activePane="bottomLeft" state="frozen"/>
      <selection pane="topLeft" activeCell="A1" sqref="A1"/>
      <selection pane="bottomLeft" activeCell="D48" sqref="D48"/>
    </sheetView>
  </sheetViews>
  <sheetFormatPr defaultColWidth="9.140625" defaultRowHeight="15"/>
  <cols>
    <col min="1" max="1" width="75.00390625" style="7" customWidth="1"/>
    <col min="2" max="2" width="19.140625" style="7" customWidth="1"/>
    <col min="3" max="3" width="20.57421875" style="7" bestFit="1" customWidth="1"/>
    <col min="4" max="4" width="21.57421875" style="7" bestFit="1" customWidth="1"/>
    <col min="5" max="5" width="21.140625" style="7" bestFit="1" customWidth="1"/>
    <col min="6" max="6" width="18.00390625" style="7" bestFit="1" customWidth="1"/>
    <col min="7" max="7" width="15.8515625" style="7" bestFit="1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9107</v>
      </c>
      <c r="D1" s="28">
        <v>9284</v>
      </c>
      <c r="E1" s="20" t="s">
        <v>16</v>
      </c>
      <c r="F1" s="46" t="s">
        <v>128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1445</v>
      </c>
      <c r="D2" s="8">
        <v>1476</v>
      </c>
      <c r="E2" s="20" t="s">
        <v>16</v>
      </c>
      <c r="F2" s="8"/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103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33">
      <c r="A8" s="21" t="s">
        <v>102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v>1430.8</v>
      </c>
      <c r="C9" s="2">
        <v>7114.16</v>
      </c>
      <c r="D9" s="2">
        <v>4756</v>
      </c>
      <c r="E9" s="2">
        <f>39658.88+3006</f>
        <v>42664.88</v>
      </c>
      <c r="F9" s="2">
        <f>288.6+1154.4</f>
        <v>1443</v>
      </c>
      <c r="G9" s="2">
        <v>0</v>
      </c>
      <c r="H9" s="2">
        <v>0</v>
      </c>
      <c r="I9" s="2">
        <v>0</v>
      </c>
      <c r="J9" s="3">
        <f aca="true" t="shared" si="0" ref="J9:J20">SUM(B9:I9)</f>
        <v>57408.84</v>
      </c>
      <c r="K9" s="1"/>
    </row>
    <row r="10" spans="1:11" ht="16.5">
      <c r="A10" s="29" t="s">
        <v>46</v>
      </c>
      <c r="B10" s="2">
        <v>0</v>
      </c>
      <c r="C10" s="2">
        <v>0</v>
      </c>
      <c r="D10" s="2">
        <v>0</v>
      </c>
      <c r="E10" s="2">
        <f>8219.08+21120.71+22491.6</f>
        <v>51831.39</v>
      </c>
      <c r="F10" s="2">
        <v>0</v>
      </c>
      <c r="G10" s="2">
        <v>0</v>
      </c>
      <c r="H10" s="2">
        <v>0</v>
      </c>
      <c r="I10" s="2">
        <v>0</v>
      </c>
      <c r="J10" s="3">
        <f t="shared" si="0"/>
        <v>51831.39</v>
      </c>
      <c r="K10" s="1"/>
    </row>
    <row r="11" spans="1:11" ht="16.5">
      <c r="A11" s="29" t="s">
        <v>127</v>
      </c>
      <c r="B11" s="2">
        <v>1087.07</v>
      </c>
      <c r="C11" s="2">
        <v>904.4</v>
      </c>
      <c r="D11" s="2">
        <v>1101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3">
        <f>SUM(B11:I11)</f>
        <v>3092.47</v>
      </c>
      <c r="K11" s="1"/>
    </row>
    <row r="12" spans="1:11" ht="16.5">
      <c r="A12" s="47" t="s">
        <v>111</v>
      </c>
      <c r="B12" s="48">
        <f>1087.07</f>
        <v>1087.07</v>
      </c>
      <c r="C12" s="48">
        <f>904.4</f>
        <v>904.4</v>
      </c>
      <c r="D12" s="48">
        <f>1101</f>
        <v>1101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52">
        <f t="shared" si="0"/>
        <v>3092.47</v>
      </c>
      <c r="K12" s="1"/>
    </row>
    <row r="13" spans="1:11" ht="16.5">
      <c r="A13" s="47" t="s">
        <v>112</v>
      </c>
      <c r="B13" s="48">
        <f>1087.07</f>
        <v>1087.07</v>
      </c>
      <c r="C13" s="48">
        <v>3910.2</v>
      </c>
      <c r="D13" s="48">
        <f>1101</f>
        <v>1101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52">
        <f t="shared" si="0"/>
        <v>6098.2699999999995</v>
      </c>
      <c r="K13" s="1"/>
    </row>
    <row r="14" spans="1:11" ht="16.5">
      <c r="A14" s="47" t="s">
        <v>114</v>
      </c>
      <c r="B14" s="48">
        <v>1087.07</v>
      </c>
      <c r="C14" s="48">
        <v>3158.75</v>
      </c>
      <c r="D14" s="53">
        <f>2202</f>
        <v>2202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52">
        <f t="shared" si="0"/>
        <v>6447.82</v>
      </c>
      <c r="K14" s="1"/>
    </row>
    <row r="15" spans="1:11" ht="16.5">
      <c r="A15" s="47" t="s">
        <v>117</v>
      </c>
      <c r="B15" s="48">
        <f>1087.07</f>
        <v>1087.07</v>
      </c>
      <c r="C15" s="48">
        <v>6164.55</v>
      </c>
      <c r="D15" s="48">
        <f>1101</f>
        <v>1101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52">
        <f t="shared" si="0"/>
        <v>8352.619999999999</v>
      </c>
      <c r="K15" s="1"/>
    </row>
    <row r="16" spans="1:11" ht="16.5">
      <c r="A16" s="47" t="s">
        <v>118</v>
      </c>
      <c r="B16" s="48">
        <f>1087.07</f>
        <v>1087.07</v>
      </c>
      <c r="C16" s="48">
        <v>3910.2</v>
      </c>
      <c r="D16" s="48">
        <v>1101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52">
        <f t="shared" si="0"/>
        <v>6098.2699999999995</v>
      </c>
      <c r="K16" s="1"/>
    </row>
    <row r="17" spans="1:11" ht="16.5">
      <c r="A17" s="47" t="s">
        <v>120</v>
      </c>
      <c r="B17" s="48">
        <v>1087.07</v>
      </c>
      <c r="C17" s="48">
        <v>6164.55</v>
      </c>
      <c r="D17" s="48">
        <v>1101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52">
        <f t="shared" si="0"/>
        <v>8352.619999999999</v>
      </c>
      <c r="K17" s="1"/>
    </row>
    <row r="18" spans="1:12" ht="16.5">
      <c r="A18" s="47" t="s">
        <v>121</v>
      </c>
      <c r="B18" s="48">
        <v>1087.07</v>
      </c>
      <c r="C18" s="48">
        <v>1655.85</v>
      </c>
      <c r="D18" s="48">
        <f>1101</f>
        <v>1101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9">
        <f>SUM(B18:I18)</f>
        <v>3843.92</v>
      </c>
      <c r="K18" s="1"/>
      <c r="L18" s="1"/>
    </row>
    <row r="19" spans="1:12" s="51" customFormat="1" ht="16.5">
      <c r="A19" s="47" t="s">
        <v>122</v>
      </c>
      <c r="B19" s="48">
        <v>1087.07</v>
      </c>
      <c r="C19" s="48">
        <v>3910.2</v>
      </c>
      <c r="D19" s="48">
        <v>1101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9">
        <f>SUM(B19:I19)</f>
        <v>6098.2699999999995</v>
      </c>
      <c r="K19" s="50"/>
      <c r="L19" s="50"/>
    </row>
    <row r="20" spans="1:12" ht="16.5">
      <c r="A20" s="29" t="s">
        <v>129</v>
      </c>
      <c r="B20" s="30">
        <v>1087.07</v>
      </c>
      <c r="C20" s="30">
        <v>904.4</v>
      </c>
      <c r="D20" s="30">
        <v>1101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5">
        <f t="shared" si="0"/>
        <v>3092.47</v>
      </c>
      <c r="K20" s="1"/>
      <c r="L20" s="1"/>
    </row>
    <row r="21" spans="1:11" ht="16.5">
      <c r="A21" s="21" t="s">
        <v>8</v>
      </c>
      <c r="B21" s="4">
        <f aca="true" t="shared" si="1" ref="B21:J21">SUM(B9:B20)</f>
        <v>12301.499999999998</v>
      </c>
      <c r="C21" s="4">
        <f t="shared" si="1"/>
        <v>38701.659999999996</v>
      </c>
      <c r="D21" s="4">
        <f t="shared" si="1"/>
        <v>16867</v>
      </c>
      <c r="E21" s="40">
        <f t="shared" si="1"/>
        <v>94496.26999999999</v>
      </c>
      <c r="F21" s="4">
        <f t="shared" si="1"/>
        <v>1443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 t="shared" si="1"/>
        <v>163809.43</v>
      </c>
      <c r="K21" s="15"/>
    </row>
    <row r="22" spans="1:11" ht="33">
      <c r="A22" s="21" t="s">
        <v>13</v>
      </c>
      <c r="B22" s="34" t="s">
        <v>0</v>
      </c>
      <c r="C22" s="34" t="s">
        <v>1</v>
      </c>
      <c r="D22" s="34" t="s">
        <v>2</v>
      </c>
      <c r="E22" s="34" t="s">
        <v>3</v>
      </c>
      <c r="F22" s="35" t="s">
        <v>4</v>
      </c>
      <c r="G22" s="35" t="s">
        <v>5</v>
      </c>
      <c r="H22" s="35" t="s">
        <v>6</v>
      </c>
      <c r="I22" s="35" t="s">
        <v>7</v>
      </c>
      <c r="J22" s="5" t="s">
        <v>14</v>
      </c>
      <c r="K22" s="1"/>
    </row>
    <row r="23" spans="1:11" ht="16.5">
      <c r="A23" s="6" t="s">
        <v>108</v>
      </c>
      <c r="B23" s="31">
        <f>3157.54+1512.23+56</f>
        <v>4725.77</v>
      </c>
      <c r="C23" s="31">
        <f>19285+27770.4+9256.8+15357.51+10883.39+3021.75+16970.8</f>
        <v>102545.65</v>
      </c>
      <c r="D23" s="31">
        <f>6782+3303+88+18717</f>
        <v>28890</v>
      </c>
      <c r="E23" s="31">
        <f>18458+4666</f>
        <v>23124</v>
      </c>
      <c r="F23" s="44">
        <v>0</v>
      </c>
      <c r="G23" s="44">
        <v>0</v>
      </c>
      <c r="H23" s="44">
        <v>0</v>
      </c>
      <c r="I23" s="44">
        <v>0</v>
      </c>
      <c r="J23" s="5">
        <f aca="true" t="shared" si="2" ref="J23:J53">SUM(B23:I23)</f>
        <v>159285.41999999998</v>
      </c>
      <c r="K23" s="1"/>
    </row>
    <row r="24" spans="1:12" ht="16.5">
      <c r="A24" s="29" t="s">
        <v>30</v>
      </c>
      <c r="B24" s="30">
        <v>0</v>
      </c>
      <c r="C24" s="30">
        <v>0</v>
      </c>
      <c r="D24" s="30">
        <v>0</v>
      </c>
      <c r="E24" s="30">
        <f>46099.75</f>
        <v>46099.75</v>
      </c>
      <c r="F24" s="30">
        <v>0</v>
      </c>
      <c r="G24" s="30">
        <v>0</v>
      </c>
      <c r="H24" s="30">
        <v>0</v>
      </c>
      <c r="I24" s="30">
        <v>0</v>
      </c>
      <c r="J24" s="5">
        <f t="shared" si="2"/>
        <v>46099.75</v>
      </c>
      <c r="K24" s="1"/>
      <c r="L24" s="1"/>
    </row>
    <row r="25" spans="1:12" ht="16.5">
      <c r="A25" s="29" t="s">
        <v>43</v>
      </c>
      <c r="B25" s="30">
        <v>0</v>
      </c>
      <c r="C25" s="30">
        <v>0</v>
      </c>
      <c r="D25" s="30">
        <v>0</v>
      </c>
      <c r="E25" s="30">
        <f>57778.36</f>
        <v>57778.36</v>
      </c>
      <c r="F25" s="30">
        <v>0</v>
      </c>
      <c r="G25" s="30">
        <v>0</v>
      </c>
      <c r="H25" s="30">
        <v>0</v>
      </c>
      <c r="I25" s="30">
        <v>0</v>
      </c>
      <c r="J25" s="5">
        <f t="shared" si="2"/>
        <v>57778.36</v>
      </c>
      <c r="K25" s="1"/>
      <c r="L25" s="1"/>
    </row>
    <row r="26" spans="1:12" ht="16.5">
      <c r="A26" s="29" t="s">
        <v>56</v>
      </c>
      <c r="B26" s="30">
        <v>0</v>
      </c>
      <c r="C26" s="30">
        <v>0</v>
      </c>
      <c r="D26" s="30">
        <v>0</v>
      </c>
      <c r="E26" s="30">
        <f>61390.68</f>
        <v>61390.68</v>
      </c>
      <c r="F26" s="30">
        <v>0</v>
      </c>
      <c r="G26" s="30">
        <v>0</v>
      </c>
      <c r="H26" s="30">
        <v>0</v>
      </c>
      <c r="I26" s="30">
        <v>0</v>
      </c>
      <c r="J26" s="5">
        <f t="shared" si="2"/>
        <v>61390.68</v>
      </c>
      <c r="K26" s="1"/>
      <c r="L26" s="1"/>
    </row>
    <row r="27" spans="1:12" ht="16.5">
      <c r="A27" s="29" t="s">
        <v>64</v>
      </c>
      <c r="B27" s="30">
        <v>0</v>
      </c>
      <c r="C27" s="30">
        <v>0</v>
      </c>
      <c r="D27" s="30">
        <v>0</v>
      </c>
      <c r="E27" s="30">
        <f>1814.4+1607.05</f>
        <v>3421.45</v>
      </c>
      <c r="F27" s="30">
        <v>0</v>
      </c>
      <c r="G27" s="30">
        <v>0</v>
      </c>
      <c r="H27" s="30">
        <v>0</v>
      </c>
      <c r="I27" s="30">
        <v>0</v>
      </c>
      <c r="J27" s="5">
        <f t="shared" si="2"/>
        <v>3421.45</v>
      </c>
      <c r="K27" s="1"/>
      <c r="L27" s="1"/>
    </row>
    <row r="28" spans="1:12" ht="16.5">
      <c r="A28" s="29" t="s">
        <v>67</v>
      </c>
      <c r="B28" s="30">
        <v>0</v>
      </c>
      <c r="C28" s="30">
        <v>0</v>
      </c>
      <c r="D28" s="30">
        <v>0</v>
      </c>
      <c r="E28" s="30">
        <f>3481.92+4384.8+4178.33+5261.76</f>
        <v>17306.809999999998</v>
      </c>
      <c r="F28" s="30">
        <v>0</v>
      </c>
      <c r="G28" s="30">
        <v>0</v>
      </c>
      <c r="H28" s="30">
        <v>0</v>
      </c>
      <c r="I28" s="30">
        <v>0</v>
      </c>
      <c r="J28" s="5">
        <f t="shared" si="2"/>
        <v>17306.809999999998</v>
      </c>
      <c r="K28" s="1"/>
      <c r="L28" s="1"/>
    </row>
    <row r="29" spans="1:12" ht="16.5">
      <c r="A29" s="29" t="s">
        <v>70</v>
      </c>
      <c r="B29" s="30">
        <v>0</v>
      </c>
      <c r="C29" s="30">
        <v>0</v>
      </c>
      <c r="D29" s="30">
        <v>0</v>
      </c>
      <c r="E29" s="30">
        <f>76353</f>
        <v>76353</v>
      </c>
      <c r="F29" s="30">
        <v>0</v>
      </c>
      <c r="G29" s="30">
        <v>0</v>
      </c>
      <c r="H29" s="30">
        <v>0</v>
      </c>
      <c r="I29" s="30">
        <v>0</v>
      </c>
      <c r="J29" s="5">
        <f t="shared" si="2"/>
        <v>76353</v>
      </c>
      <c r="K29" s="1"/>
      <c r="L29" s="1"/>
    </row>
    <row r="30" spans="1:12" ht="16.5">
      <c r="A30" s="29" t="s">
        <v>73</v>
      </c>
      <c r="B30" s="30">
        <v>0</v>
      </c>
      <c r="C30" s="30">
        <v>0</v>
      </c>
      <c r="D30" s="30">
        <v>0</v>
      </c>
      <c r="E30" s="30">
        <f>49000.88</f>
        <v>49000.88</v>
      </c>
      <c r="F30" s="30">
        <v>0</v>
      </c>
      <c r="G30" s="30">
        <v>0</v>
      </c>
      <c r="H30" s="30">
        <v>0</v>
      </c>
      <c r="I30" s="30">
        <v>0</v>
      </c>
      <c r="J30" s="5">
        <f t="shared" si="2"/>
        <v>49000.88</v>
      </c>
      <c r="K30" s="1"/>
      <c r="L30" s="1"/>
    </row>
    <row r="31" spans="1:12" ht="16.5">
      <c r="A31" s="29" t="s">
        <v>79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5">
        <f t="shared" si="2"/>
        <v>0</v>
      </c>
      <c r="K31" s="1"/>
      <c r="L31" s="1"/>
    </row>
    <row r="32" spans="1:12" ht="16.5">
      <c r="A32" s="29" t="s">
        <v>96</v>
      </c>
      <c r="B32" s="30">
        <v>0</v>
      </c>
      <c r="C32" s="30">
        <v>0</v>
      </c>
      <c r="D32" s="30">
        <v>0</v>
      </c>
      <c r="E32" s="30">
        <f>1534.5</f>
        <v>1534.5</v>
      </c>
      <c r="F32" s="30">
        <v>0</v>
      </c>
      <c r="G32" s="30">
        <v>0</v>
      </c>
      <c r="H32" s="30">
        <v>0</v>
      </c>
      <c r="I32" s="30">
        <v>0</v>
      </c>
      <c r="J32" s="5">
        <f t="shared" si="2"/>
        <v>1534.5</v>
      </c>
      <c r="K32" s="1"/>
      <c r="L32" s="1"/>
    </row>
    <row r="33" spans="1:12" ht="16.5">
      <c r="A33" s="29" t="s">
        <v>95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5">
        <f t="shared" si="2"/>
        <v>0</v>
      </c>
      <c r="K33" s="1"/>
      <c r="L33" s="1"/>
    </row>
    <row r="34" spans="1:12" ht="16.5">
      <c r="A34" s="29" t="s">
        <v>98</v>
      </c>
      <c r="B34" s="30">
        <v>0</v>
      </c>
      <c r="C34" s="30">
        <v>0</v>
      </c>
      <c r="D34" s="30">
        <v>0</v>
      </c>
      <c r="E34" s="30">
        <f>2520+7560</f>
        <v>10080</v>
      </c>
      <c r="F34" s="30">
        <v>0</v>
      </c>
      <c r="G34" s="30">
        <v>0</v>
      </c>
      <c r="H34" s="30">
        <v>0</v>
      </c>
      <c r="I34" s="30">
        <v>0</v>
      </c>
      <c r="J34" s="5">
        <f t="shared" si="2"/>
        <v>10080</v>
      </c>
      <c r="K34" s="1"/>
      <c r="L34" s="1"/>
    </row>
    <row r="35" spans="1:12" ht="16.5">
      <c r="A35" s="29" t="s">
        <v>99</v>
      </c>
      <c r="B35" s="30">
        <v>0</v>
      </c>
      <c r="C35" s="30">
        <v>0</v>
      </c>
      <c r="D35" s="30">
        <v>0</v>
      </c>
      <c r="E35" s="30">
        <f>1207.5+403.72+538.3+1610</f>
        <v>3759.52</v>
      </c>
      <c r="F35" s="30">
        <v>0</v>
      </c>
      <c r="G35" s="30">
        <v>0</v>
      </c>
      <c r="H35" s="30">
        <v>0</v>
      </c>
      <c r="I35" s="30">
        <v>0</v>
      </c>
      <c r="J35" s="5">
        <f t="shared" si="2"/>
        <v>3759.52</v>
      </c>
      <c r="K35" s="1"/>
      <c r="L35" s="1"/>
    </row>
    <row r="36" spans="1:12" ht="16.5">
      <c r="A36" s="47" t="s">
        <v>126</v>
      </c>
      <c r="B36" s="30">
        <f>5399.55</f>
        <v>5399.55</v>
      </c>
      <c r="C36" s="30">
        <f>7976.01</f>
        <v>7976.01</v>
      </c>
      <c r="D36" s="30">
        <f>17620</f>
        <v>17620</v>
      </c>
      <c r="E36" s="30">
        <v>0</v>
      </c>
      <c r="F36" s="30">
        <v>962</v>
      </c>
      <c r="G36" s="30">
        <v>0</v>
      </c>
      <c r="H36" s="30">
        <v>0</v>
      </c>
      <c r="I36" s="30">
        <v>0</v>
      </c>
      <c r="J36" s="5">
        <f aca="true" t="shared" si="3" ref="J36:J45">SUM(B36:I36)</f>
        <v>31957.56</v>
      </c>
      <c r="K36" s="1"/>
      <c r="L36" s="1"/>
    </row>
    <row r="37" spans="1:12" ht="16.5">
      <c r="A37" s="47" t="s">
        <v>109</v>
      </c>
      <c r="B37" s="30">
        <f>2416.5</f>
        <v>2416.5</v>
      </c>
      <c r="C37" s="30">
        <f>13810.72</f>
        <v>13810.72</v>
      </c>
      <c r="D37" s="30">
        <f>26430</f>
        <v>26430</v>
      </c>
      <c r="E37" s="30">
        <f>3745.21</f>
        <v>3745.21</v>
      </c>
      <c r="F37" s="30">
        <v>0</v>
      </c>
      <c r="G37" s="30">
        <v>0</v>
      </c>
      <c r="H37" s="30">
        <v>0</v>
      </c>
      <c r="I37" s="30">
        <v>0</v>
      </c>
      <c r="J37" s="5">
        <f t="shared" si="3"/>
        <v>46402.43</v>
      </c>
      <c r="K37" s="1"/>
      <c r="L37" s="1"/>
    </row>
    <row r="38" spans="1:12" ht="16.5">
      <c r="A38" s="47" t="s">
        <v>110</v>
      </c>
      <c r="B38" s="30">
        <f>6987.78</f>
        <v>6987.78</v>
      </c>
      <c r="C38" s="30">
        <f>35906.41</f>
        <v>35906.41</v>
      </c>
      <c r="D38" s="30">
        <f>70480</f>
        <v>70480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5">
        <f t="shared" si="3"/>
        <v>113374.19</v>
      </c>
      <c r="K38" s="1"/>
      <c r="L38" s="1"/>
    </row>
    <row r="39" spans="1:12" ht="16.5">
      <c r="A39" s="47" t="s">
        <v>113</v>
      </c>
      <c r="B39" s="30">
        <f>2459.61</f>
        <v>2459.61</v>
      </c>
      <c r="C39" s="30">
        <f>2791.6</f>
        <v>2791.6</v>
      </c>
      <c r="D39" s="30">
        <f>8810</f>
        <v>8810</v>
      </c>
      <c r="E39" s="30">
        <f>1735.78+2603.67</f>
        <v>4339.45</v>
      </c>
      <c r="F39" s="30">
        <v>0</v>
      </c>
      <c r="G39" s="30">
        <v>0</v>
      </c>
      <c r="H39" s="30">
        <v>0</v>
      </c>
      <c r="I39" s="30">
        <v>0</v>
      </c>
      <c r="J39" s="5">
        <f t="shared" si="3"/>
        <v>18400.66</v>
      </c>
      <c r="K39" s="1"/>
      <c r="L39" s="1"/>
    </row>
    <row r="40" spans="1:12" ht="16.5">
      <c r="A40" s="47" t="s">
        <v>115</v>
      </c>
      <c r="B40" s="30">
        <f>2722.77+56</f>
        <v>2778.77</v>
      </c>
      <c r="C40" s="30">
        <f>7181.6</f>
        <v>7181.6</v>
      </c>
      <c r="D40" s="30">
        <f>88+22025</f>
        <v>22113</v>
      </c>
      <c r="E40" s="30">
        <f>41609.5+19669.5+13454+50785.5+3591+65379+9548+1240</f>
        <v>205276.5</v>
      </c>
      <c r="F40" s="30">
        <v>0</v>
      </c>
      <c r="G40" s="30">
        <v>0</v>
      </c>
      <c r="H40" s="30">
        <v>0</v>
      </c>
      <c r="I40" s="30">
        <v>0</v>
      </c>
      <c r="J40" s="5">
        <f t="shared" si="3"/>
        <v>237349.87</v>
      </c>
      <c r="K40" s="1"/>
      <c r="L40" s="1"/>
    </row>
    <row r="41" spans="1:12" ht="16.5">
      <c r="A41" s="47" t="s">
        <v>116</v>
      </c>
      <c r="B41" s="30">
        <f>4852.62</f>
        <v>4852.62</v>
      </c>
      <c r="C41" s="30">
        <f>9282.07</f>
        <v>9282.07</v>
      </c>
      <c r="D41" s="30">
        <f>22025</f>
        <v>22025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5">
        <f t="shared" si="3"/>
        <v>36159.69</v>
      </c>
      <c r="K41" s="1"/>
      <c r="L41" s="1"/>
    </row>
    <row r="42" spans="1:10" ht="16.5">
      <c r="A42" s="54" t="s">
        <v>119</v>
      </c>
      <c r="B42" s="42">
        <f>2939.94</f>
        <v>2939.94</v>
      </c>
      <c r="C42" s="42">
        <f>5216.59</f>
        <v>5216.59</v>
      </c>
      <c r="D42" s="42">
        <f>8810+4405</f>
        <v>13215</v>
      </c>
      <c r="E42" s="42">
        <v>1499.43</v>
      </c>
      <c r="F42" s="42">
        <v>0</v>
      </c>
      <c r="G42" s="42">
        <v>0</v>
      </c>
      <c r="H42" s="42">
        <v>0</v>
      </c>
      <c r="I42" s="42">
        <v>0</v>
      </c>
      <c r="J42" s="43">
        <f t="shared" si="3"/>
        <v>22870.96</v>
      </c>
    </row>
    <row r="43" spans="1:12" ht="16.5">
      <c r="A43" s="47" t="s">
        <v>123</v>
      </c>
      <c r="B43" s="30">
        <f>2712.51</f>
        <v>2712.51</v>
      </c>
      <c r="C43" s="30">
        <f>5036.71</f>
        <v>5036.71</v>
      </c>
      <c r="D43" s="30">
        <v>13215</v>
      </c>
      <c r="E43" s="30">
        <f>143251+421.6</f>
        <v>143672.6</v>
      </c>
      <c r="F43" s="30">
        <v>0</v>
      </c>
      <c r="G43" s="30">
        <v>0</v>
      </c>
      <c r="H43" s="30">
        <v>0</v>
      </c>
      <c r="I43" s="30">
        <v>0</v>
      </c>
      <c r="J43" s="5">
        <f t="shared" si="3"/>
        <v>164636.82</v>
      </c>
      <c r="K43" s="1"/>
      <c r="L43" s="1"/>
    </row>
    <row r="44" spans="1:10" ht="16.5">
      <c r="A44" s="54" t="s">
        <v>124</v>
      </c>
      <c r="B44" s="42">
        <f>1942.03</f>
        <v>1942.03</v>
      </c>
      <c r="C44" s="42">
        <f>18794.59+2211.13+6171.2</f>
        <v>27176.920000000002</v>
      </c>
      <c r="D44" s="42">
        <f>9909</f>
        <v>9909</v>
      </c>
      <c r="E44" s="42">
        <f>1076.46</f>
        <v>1076.46</v>
      </c>
      <c r="F44" s="42">
        <v>0</v>
      </c>
      <c r="G44" s="42">
        <v>0</v>
      </c>
      <c r="H44" s="42">
        <v>0</v>
      </c>
      <c r="I44" s="42">
        <v>0</v>
      </c>
      <c r="J44" s="43">
        <f t="shared" si="3"/>
        <v>40104.409999999996</v>
      </c>
    </row>
    <row r="45" spans="1:10" ht="16.5">
      <c r="A45" s="54" t="s">
        <v>125</v>
      </c>
      <c r="B45" s="42">
        <f>2469.78</f>
        <v>2469.78</v>
      </c>
      <c r="C45" s="42">
        <f>7345.32</f>
        <v>7345.32</v>
      </c>
      <c r="D45" s="42">
        <f>17620</f>
        <v>17620</v>
      </c>
      <c r="E45" s="42">
        <f>1275.89</f>
        <v>1275.89</v>
      </c>
      <c r="F45" s="42">
        <v>0</v>
      </c>
      <c r="G45" s="42">
        <v>0</v>
      </c>
      <c r="H45" s="42">
        <v>0</v>
      </c>
      <c r="I45" s="42">
        <v>0</v>
      </c>
      <c r="J45" s="43">
        <f t="shared" si="3"/>
        <v>28710.989999999998</v>
      </c>
    </row>
    <row r="46" spans="1:12" ht="16.5">
      <c r="A46" s="29" t="s">
        <v>104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5">
        <f t="shared" si="2"/>
        <v>0</v>
      </c>
      <c r="K46" s="1"/>
      <c r="L46" s="1"/>
    </row>
    <row r="47" spans="1:12" ht="16.5">
      <c r="A47" s="16" t="s">
        <v>26</v>
      </c>
      <c r="B47" s="30">
        <f>518010.78+7931.43+12819.05</f>
        <v>538761.2600000001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5">
        <f t="shared" si="2"/>
        <v>538761.2600000001</v>
      </c>
      <c r="K47" s="1"/>
      <c r="L47" s="1"/>
    </row>
    <row r="48" spans="1:12" ht="16.5">
      <c r="A48" s="22" t="s">
        <v>9</v>
      </c>
      <c r="B48" s="30">
        <f>56+56+112+56+56+112+56+56+112+56+56+56+56+56+56+56+56+280+56+401.8+56+168+224+78.4+56+112+168+168+56+56+112+112+112+56+112+56+56+56+112+56+112+56+56+56+147+56+56+56+56+56+112</f>
        <v>4659.200000000001</v>
      </c>
      <c r="C48" s="30">
        <f>299.26+444.24+134.66+263.01+134+134.66+186.2+134.66+227.76+134.66+134.66+134.66+66.5+129.01+93.1+134+960.93+134+777.4+186.2+372.4+372.4+199.5+2952.6+387.03+66.5+186.2+288.61+258.02+93.1+134.66+93.1+93.1+134.66+93.1+134.66+93.1+93.1+134+134+95.1+668.33+186.2+93.1+227.76+357.77+93.1+413.96+134.66+129.01+129.01+465.5</f>
        <v>14150.910000000003</v>
      </c>
      <c r="D48" s="30">
        <f>176+88+176+176+88+176+264+88+176+352+176+176+176+352+88+88+88+792+704+352+352+88+264+352+88+88+176+704+968+352+176+264+264+352+264+88+528+176+352+88+176+88+264+88+88+264+352+176+176+88+88+88+176</f>
        <v>12848</v>
      </c>
      <c r="E48" s="30">
        <f>35+1050+70+385+2030+13195+1977.43+175+420+350+1540+122.5+595+560+1645+315+910+560+105+175+35+1190+35+175+70+1435+350+280+35+5803</f>
        <v>35622.93</v>
      </c>
      <c r="F48" s="30">
        <f>2443.48+76.96+192.4+76.96+6022.12+2924.48+1019.72+250.12+134.68+19.24+19.24+2124.9</f>
        <v>15304.3</v>
      </c>
      <c r="G48" s="30">
        <f>52.14+96.38+39.5+788.81</f>
        <v>976.8299999999999</v>
      </c>
      <c r="H48" s="30">
        <f>9.33+27.99+27.99+9.33</f>
        <v>74.64</v>
      </c>
      <c r="I48" s="30">
        <v>191.26</v>
      </c>
      <c r="J48" s="5">
        <f t="shared" si="2"/>
        <v>83828.07</v>
      </c>
      <c r="K48" s="1"/>
      <c r="L48" s="1"/>
    </row>
    <row r="49" spans="1:12" ht="16.5">
      <c r="A49" s="22" t="s">
        <v>105</v>
      </c>
      <c r="B49" s="30">
        <v>0</v>
      </c>
      <c r="C49" s="30">
        <v>0</v>
      </c>
      <c r="D49" s="30">
        <v>0</v>
      </c>
      <c r="E49" s="30">
        <f>1440+4545+360+4185+2250+3825</f>
        <v>16605</v>
      </c>
      <c r="F49" s="30">
        <v>0</v>
      </c>
      <c r="G49" s="30">
        <v>0</v>
      </c>
      <c r="H49" s="30">
        <v>0</v>
      </c>
      <c r="I49" s="30">
        <v>0</v>
      </c>
      <c r="J49" s="5">
        <f t="shared" si="2"/>
        <v>16605</v>
      </c>
      <c r="K49" s="1"/>
      <c r="L49" s="1"/>
    </row>
    <row r="50" spans="1:12" ht="16.5">
      <c r="A50" s="22" t="s">
        <v>90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5">
        <f t="shared" si="2"/>
        <v>0</v>
      </c>
      <c r="K50" s="1"/>
      <c r="L50" s="1"/>
    </row>
    <row r="51" spans="1:12" ht="16.5">
      <c r="A51" s="16" t="s">
        <v>106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5">
        <f>32.77+4556.51+182.88+52.2+138.42+154.65+7.94+396.29+11862.09+203.6+1453.65+754.86</f>
        <v>19795.86</v>
      </c>
      <c r="K51" s="1"/>
      <c r="L51" s="1"/>
    </row>
    <row r="52" spans="1:12" ht="16.5">
      <c r="A52" s="16" t="s">
        <v>18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5">
        <f>50+50+50+100+100+88.72</f>
        <v>438.72</v>
      </c>
      <c r="K52" s="1"/>
      <c r="L52" s="1"/>
    </row>
    <row r="53" spans="1:12" ht="16.5">
      <c r="A53" s="38" t="s">
        <v>22</v>
      </c>
      <c r="B53" s="39">
        <v>0</v>
      </c>
      <c r="C53" s="39">
        <v>0</v>
      </c>
      <c r="D53" s="39">
        <v>0</v>
      </c>
      <c r="E53" s="39">
        <f>78000+259325</f>
        <v>337325</v>
      </c>
      <c r="F53" s="39">
        <v>0</v>
      </c>
      <c r="G53" s="39">
        <v>0</v>
      </c>
      <c r="H53" s="39">
        <v>0</v>
      </c>
      <c r="I53" s="39">
        <v>0</v>
      </c>
      <c r="J53" s="5">
        <f t="shared" si="2"/>
        <v>337325</v>
      </c>
      <c r="K53" s="1"/>
      <c r="L53" s="1"/>
    </row>
    <row r="54" spans="1:12" ht="17.25" thickBot="1">
      <c r="A54" s="36" t="s">
        <v>10</v>
      </c>
      <c r="B54" s="23">
        <f>SUM(B23:B53)</f>
        <v>583105.3200000001</v>
      </c>
      <c r="C54" s="23">
        <f>SUM(C23:C53)</f>
        <v>238420.51</v>
      </c>
      <c r="D54" s="23">
        <f>SUM(D23:D53)</f>
        <v>263175</v>
      </c>
      <c r="E54" s="23">
        <f>SUM(E23:E53)</f>
        <v>1100287.4200000002</v>
      </c>
      <c r="F54" s="23">
        <f>SUM(F24:F53)</f>
        <v>16266.3</v>
      </c>
      <c r="G54" s="23">
        <f>SUM(G24:G53)</f>
        <v>976.8299999999999</v>
      </c>
      <c r="H54" s="23">
        <f>SUM(H24:H53)</f>
        <v>74.64</v>
      </c>
      <c r="I54" s="23">
        <f>SUM(I24:I53)</f>
        <v>191.26</v>
      </c>
      <c r="J54" s="32">
        <f>SUM(J23:J53)</f>
        <v>2222731.8600000003</v>
      </c>
      <c r="K54" s="1"/>
      <c r="L54" s="1"/>
    </row>
    <row r="55" spans="1:12" ht="17.25" thickBot="1">
      <c r="A55" s="37" t="s">
        <v>107</v>
      </c>
      <c r="B55" s="24">
        <f aca="true" t="shared" si="4" ref="B55:I55">B21+B54</f>
        <v>595406.8200000001</v>
      </c>
      <c r="C55" s="24">
        <f t="shared" si="4"/>
        <v>277122.17</v>
      </c>
      <c r="D55" s="24">
        <f t="shared" si="4"/>
        <v>280042</v>
      </c>
      <c r="E55" s="24">
        <f t="shared" si="4"/>
        <v>1194783.6900000002</v>
      </c>
      <c r="F55" s="24">
        <f t="shared" si="4"/>
        <v>17709.3</v>
      </c>
      <c r="G55" s="24">
        <f t="shared" si="4"/>
        <v>976.8299999999999</v>
      </c>
      <c r="H55" s="24">
        <f t="shared" si="4"/>
        <v>74.64</v>
      </c>
      <c r="I55" s="24">
        <f t="shared" si="4"/>
        <v>191.26</v>
      </c>
      <c r="J55" s="25">
        <f>SUM(J54+J21)</f>
        <v>2386541.2900000005</v>
      </c>
      <c r="K55" s="1"/>
      <c r="L55" s="17"/>
    </row>
    <row r="56" spans="2:10" ht="16.5">
      <c r="B56" s="45"/>
      <c r="C56" s="45"/>
      <c r="D56" s="45"/>
      <c r="E56" s="45"/>
      <c r="J56" s="55"/>
    </row>
    <row r="57" spans="2:10" ht="16.5">
      <c r="B57" s="45"/>
      <c r="C57" s="45"/>
      <c r="D57" s="45"/>
      <c r="J57" s="55"/>
    </row>
    <row r="58" spans="2:10" ht="16.5">
      <c r="B58" s="33"/>
      <c r="C58" s="33"/>
      <c r="D58" s="33"/>
      <c r="E58" s="33"/>
      <c r="F58" s="33"/>
      <c r="J58" s="33"/>
    </row>
    <row r="59" ht="16.5">
      <c r="D59" s="33"/>
    </row>
  </sheetData>
  <sheetProtection password="C1E2" sheet="1"/>
  <mergeCells count="4">
    <mergeCell ref="A3:K3"/>
    <mergeCell ref="A4:K4"/>
    <mergeCell ref="A5:K5"/>
    <mergeCell ref="A7:J7"/>
  </mergeCells>
  <printOptions horizontalCentered="1" verticalCentered="1"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="75" zoomScaleNormal="75" zoomScalePageLayoutView="0" workbookViewId="0" topLeftCell="A1">
      <pane ySplit="8" topLeftCell="A24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75.00390625" style="7" customWidth="1"/>
    <col min="2" max="2" width="19.140625" style="7" customWidth="1"/>
    <col min="3" max="3" width="20.57421875" style="7" bestFit="1" customWidth="1"/>
    <col min="4" max="4" width="21.57421875" style="7" bestFit="1" customWidth="1"/>
    <col min="5" max="5" width="21.140625" style="7" bestFit="1" customWidth="1"/>
    <col min="6" max="6" width="18.00390625" style="7" bestFit="1" customWidth="1"/>
    <col min="7" max="7" width="15.8515625" style="7" bestFit="1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9285</v>
      </c>
      <c r="D1" s="28">
        <v>9477</v>
      </c>
      <c r="E1" s="20" t="s">
        <v>16</v>
      </c>
      <c r="F1" s="56" t="s">
        <v>135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1477</v>
      </c>
      <c r="D2" s="8">
        <v>1505</v>
      </c>
      <c r="E2" s="20" t="s">
        <v>16</v>
      </c>
      <c r="F2" s="8">
        <v>1492</v>
      </c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130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33">
      <c r="A8" s="21" t="s">
        <v>102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f>1275+1533.31+1998.03+235.2+112+429.8+1087.07+256.2+705.6+56+1493.75</f>
        <v>9181.96</v>
      </c>
      <c r="C9" s="2">
        <f>1207.98+2753.1+5069.96+159.6+391.02+199.5+5935.12+131.67+478.8+242.07+131.67+1110.55</f>
        <v>17811.04</v>
      </c>
      <c r="D9" s="2">
        <f>88+88+264+88+176+88+176+88+264+2202</f>
        <v>3522</v>
      </c>
      <c r="E9" s="2">
        <f>245+11521.69+22955.27+10475.97+28136.76</f>
        <v>73334.69</v>
      </c>
      <c r="F9" s="2">
        <f>211.64+269.36</f>
        <v>481</v>
      </c>
      <c r="G9" s="2">
        <v>0</v>
      </c>
      <c r="H9" s="2">
        <v>0</v>
      </c>
      <c r="I9" s="2">
        <v>0</v>
      </c>
      <c r="J9" s="3">
        <f aca="true" t="shared" si="0" ref="J9:J18">SUM(B9:I9)</f>
        <v>104330.69</v>
      </c>
      <c r="K9" s="1"/>
    </row>
    <row r="10" spans="1:11" ht="16.5">
      <c r="A10" s="29" t="s">
        <v>46</v>
      </c>
      <c r="B10" s="2">
        <v>0</v>
      </c>
      <c r="C10" s="2">
        <v>0</v>
      </c>
      <c r="D10" s="2">
        <f>1101</f>
        <v>1101</v>
      </c>
      <c r="E10" s="2">
        <f>10600.99+19275.04+26448.25+12321.54</f>
        <v>68645.82</v>
      </c>
      <c r="F10" s="2">
        <v>0</v>
      </c>
      <c r="G10" s="2">
        <v>0</v>
      </c>
      <c r="H10" s="2">
        <v>0</v>
      </c>
      <c r="I10" s="2">
        <v>0</v>
      </c>
      <c r="J10" s="3">
        <f t="shared" si="0"/>
        <v>69746.82</v>
      </c>
      <c r="K10" s="1"/>
    </row>
    <row r="11" spans="1:11" ht="16.5">
      <c r="A11" s="47" t="s">
        <v>136</v>
      </c>
      <c r="B11" s="48">
        <f>1087.07</f>
        <v>1087.07</v>
      </c>
      <c r="C11" s="48">
        <f>6916</f>
        <v>6916</v>
      </c>
      <c r="D11" s="48">
        <v>1101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52">
        <f t="shared" si="0"/>
        <v>9104.07</v>
      </c>
      <c r="K11" s="1"/>
    </row>
    <row r="12" spans="1:11" ht="16.5">
      <c r="A12" s="47" t="s">
        <v>137</v>
      </c>
      <c r="B12" s="48">
        <f>1087.07</f>
        <v>1087.07</v>
      </c>
      <c r="C12" s="48">
        <v>2407.3</v>
      </c>
      <c r="D12" s="48">
        <v>1101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52">
        <f t="shared" si="0"/>
        <v>4595.37</v>
      </c>
      <c r="K12" s="1"/>
    </row>
    <row r="13" spans="1:11" ht="16.5">
      <c r="A13" s="47" t="s">
        <v>138</v>
      </c>
      <c r="B13" s="48">
        <v>1087.07</v>
      </c>
      <c r="C13" s="48">
        <v>5712.35</v>
      </c>
      <c r="D13" s="48">
        <v>1101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52">
        <f t="shared" si="0"/>
        <v>7900.42</v>
      </c>
      <c r="K13" s="1"/>
    </row>
    <row r="14" spans="1:12" ht="16.5">
      <c r="A14" s="47" t="s">
        <v>139</v>
      </c>
      <c r="B14" s="48">
        <v>1087.07</v>
      </c>
      <c r="C14" s="48">
        <v>2407.3</v>
      </c>
      <c r="D14" s="48">
        <v>1101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9">
        <f t="shared" si="0"/>
        <v>4595.37</v>
      </c>
      <c r="K14" s="1"/>
      <c r="L14" s="1"/>
    </row>
    <row r="15" spans="1:12" s="51" customFormat="1" ht="16.5">
      <c r="A15" s="47" t="s">
        <v>140</v>
      </c>
      <c r="B15" s="48">
        <v>1087.07</v>
      </c>
      <c r="C15" s="48">
        <v>3158.75</v>
      </c>
      <c r="D15" s="48">
        <v>1101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9">
        <f t="shared" si="0"/>
        <v>5346.82</v>
      </c>
      <c r="K15" s="50"/>
      <c r="L15" s="50"/>
    </row>
    <row r="16" spans="1:11" ht="16.5">
      <c r="A16" s="47" t="s">
        <v>132</v>
      </c>
      <c r="B16" s="48">
        <f>1087.07</f>
        <v>1087.07</v>
      </c>
      <c r="C16" s="48">
        <f>904.4</f>
        <v>904.4</v>
      </c>
      <c r="D16" s="53">
        <f>1101</f>
        <v>1101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52">
        <f t="shared" si="0"/>
        <v>3092.47</v>
      </c>
      <c r="K16" s="1"/>
    </row>
    <row r="17" spans="1:12" s="51" customFormat="1" ht="16.5">
      <c r="A17" s="47" t="s">
        <v>132</v>
      </c>
      <c r="B17" s="48">
        <v>1087.07</v>
      </c>
      <c r="C17" s="48">
        <v>2407.3</v>
      </c>
      <c r="D17" s="48">
        <v>1101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9">
        <f t="shared" si="0"/>
        <v>4595.37</v>
      </c>
      <c r="K17" s="50"/>
      <c r="L17" s="50"/>
    </row>
    <row r="18" spans="1:12" ht="16.5">
      <c r="A18" s="29" t="s">
        <v>132</v>
      </c>
      <c r="B18" s="30">
        <v>1087.07</v>
      </c>
      <c r="C18" s="30">
        <v>3158.75</v>
      </c>
      <c r="D18" s="30">
        <v>1101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5">
        <f t="shared" si="0"/>
        <v>5346.82</v>
      </c>
      <c r="K18" s="1"/>
      <c r="L18" s="1"/>
    </row>
    <row r="19" spans="1:11" ht="16.5">
      <c r="A19" s="21" t="s">
        <v>8</v>
      </c>
      <c r="B19" s="4">
        <f aca="true" t="shared" si="1" ref="B19:J19">SUM(B9:B18)</f>
        <v>17878.519999999997</v>
      </c>
      <c r="C19" s="4">
        <f t="shared" si="1"/>
        <v>44883.19000000001</v>
      </c>
      <c r="D19" s="4">
        <f t="shared" si="1"/>
        <v>13431</v>
      </c>
      <c r="E19" s="40">
        <f t="shared" si="1"/>
        <v>141980.51</v>
      </c>
      <c r="F19" s="4">
        <f t="shared" si="1"/>
        <v>481</v>
      </c>
      <c r="G19" s="4">
        <f t="shared" si="1"/>
        <v>0</v>
      </c>
      <c r="H19" s="4">
        <f t="shared" si="1"/>
        <v>0</v>
      </c>
      <c r="I19" s="4">
        <f t="shared" si="1"/>
        <v>0</v>
      </c>
      <c r="J19" s="4">
        <f t="shared" si="1"/>
        <v>218654.22000000003</v>
      </c>
      <c r="K19" s="15"/>
    </row>
    <row r="20" spans="1:11" ht="33">
      <c r="A20" s="21" t="s">
        <v>13</v>
      </c>
      <c r="B20" s="34" t="s">
        <v>0</v>
      </c>
      <c r="C20" s="34" t="s">
        <v>1</v>
      </c>
      <c r="D20" s="34" t="s">
        <v>2</v>
      </c>
      <c r="E20" s="34" t="s">
        <v>3</v>
      </c>
      <c r="F20" s="35" t="s">
        <v>4</v>
      </c>
      <c r="G20" s="35" t="s">
        <v>5</v>
      </c>
      <c r="H20" s="35" t="s">
        <v>6</v>
      </c>
      <c r="I20" s="35" t="s">
        <v>7</v>
      </c>
      <c r="J20" s="5" t="s">
        <v>14</v>
      </c>
      <c r="K20" s="1"/>
    </row>
    <row r="21" spans="1:11" ht="16.5">
      <c r="A21" s="6" t="s">
        <v>108</v>
      </c>
      <c r="B21" s="31">
        <f>112</f>
        <v>112</v>
      </c>
      <c r="C21" s="31">
        <f>11636.83+7205.93+1349.94+25013.97+7273.1+14741.05</f>
        <v>67220.81999999999</v>
      </c>
      <c r="D21" s="31">
        <f>6723.59+6606+12111+6958+13212</f>
        <v>45610.59</v>
      </c>
      <c r="E21" s="31">
        <f>24786.1+4036.5+4509+805</f>
        <v>34136.6</v>
      </c>
      <c r="F21" s="44">
        <f>288.6</f>
        <v>288.6</v>
      </c>
      <c r="G21" s="31">
        <v>0</v>
      </c>
      <c r="H21" s="31">
        <v>0</v>
      </c>
      <c r="I21" s="31">
        <v>0</v>
      </c>
      <c r="J21" s="5">
        <f aca="true" t="shared" si="2" ref="J21:J47">SUM(B21:I21)</f>
        <v>147368.61</v>
      </c>
      <c r="K21" s="1"/>
    </row>
    <row r="22" spans="1:11" ht="16.5">
      <c r="A22" s="6" t="s">
        <v>133</v>
      </c>
      <c r="B22" s="31">
        <v>0</v>
      </c>
      <c r="C22" s="31">
        <v>0</v>
      </c>
      <c r="D22" s="31">
        <v>0</v>
      </c>
      <c r="E22" s="31">
        <f>3038.14+680.49</f>
        <v>3718.63</v>
      </c>
      <c r="F22" s="31">
        <v>0</v>
      </c>
      <c r="G22" s="31">
        <v>0</v>
      </c>
      <c r="H22" s="31">
        <v>0</v>
      </c>
      <c r="I22" s="31">
        <v>0</v>
      </c>
      <c r="J22" s="5">
        <f>SUM(B22:I22)</f>
        <v>3718.63</v>
      </c>
      <c r="K22" s="1"/>
    </row>
    <row r="23" spans="1:12" ht="16.5">
      <c r="A23" s="29" t="s">
        <v>56</v>
      </c>
      <c r="B23" s="30">
        <v>0</v>
      </c>
      <c r="C23" s="30">
        <v>0</v>
      </c>
      <c r="D23" s="30">
        <v>0</v>
      </c>
      <c r="E23" s="30">
        <f>73717.16+69269.44</f>
        <v>142986.6</v>
      </c>
      <c r="F23" s="30">
        <v>0</v>
      </c>
      <c r="G23" s="30">
        <v>0</v>
      </c>
      <c r="H23" s="30">
        <v>0</v>
      </c>
      <c r="I23" s="30">
        <v>0</v>
      </c>
      <c r="J23" s="5">
        <f t="shared" si="2"/>
        <v>142986.6</v>
      </c>
      <c r="K23" s="1"/>
      <c r="L23" s="1"/>
    </row>
    <row r="24" spans="1:12" ht="16.5">
      <c r="A24" s="29" t="s">
        <v>67</v>
      </c>
      <c r="B24" s="30">
        <v>0</v>
      </c>
      <c r="C24" s="30">
        <v>0</v>
      </c>
      <c r="D24" s="30">
        <v>0</v>
      </c>
      <c r="E24" s="30">
        <f>5013.97+6314.17+13593.91</f>
        <v>24922.05</v>
      </c>
      <c r="F24" s="30">
        <v>0</v>
      </c>
      <c r="G24" s="30">
        <v>0</v>
      </c>
      <c r="H24" s="30">
        <v>0</v>
      </c>
      <c r="I24" s="30">
        <v>0</v>
      </c>
      <c r="J24" s="5">
        <f t="shared" si="2"/>
        <v>24922.05</v>
      </c>
      <c r="K24" s="1"/>
      <c r="L24" s="1"/>
    </row>
    <row r="25" spans="1:12" ht="16.5">
      <c r="A25" s="29" t="s">
        <v>73</v>
      </c>
      <c r="B25" s="30">
        <v>0</v>
      </c>
      <c r="C25" s="30">
        <v>0</v>
      </c>
      <c r="D25" s="30">
        <v>0</v>
      </c>
      <c r="E25" s="30">
        <f>58847.4+70663.21</f>
        <v>129510.61000000002</v>
      </c>
      <c r="F25" s="30">
        <v>0</v>
      </c>
      <c r="G25" s="30">
        <v>0</v>
      </c>
      <c r="H25" s="30">
        <v>0</v>
      </c>
      <c r="I25" s="30">
        <v>0</v>
      </c>
      <c r="J25" s="5">
        <f t="shared" si="2"/>
        <v>129510.61000000002</v>
      </c>
      <c r="K25" s="1"/>
      <c r="L25" s="1"/>
    </row>
    <row r="26" spans="1:12" ht="16.5">
      <c r="A26" s="29" t="s">
        <v>134</v>
      </c>
      <c r="B26" s="30">
        <v>0</v>
      </c>
      <c r="C26" s="30">
        <v>0</v>
      </c>
      <c r="D26" s="30">
        <v>0</v>
      </c>
      <c r="E26" s="30">
        <f>12387.6+14865.12</f>
        <v>27252.72</v>
      </c>
      <c r="F26" s="30">
        <v>0</v>
      </c>
      <c r="G26" s="30">
        <v>0</v>
      </c>
      <c r="H26" s="30">
        <v>0</v>
      </c>
      <c r="I26" s="30">
        <v>0</v>
      </c>
      <c r="J26" s="5">
        <f t="shared" si="2"/>
        <v>27252.72</v>
      </c>
      <c r="K26" s="1"/>
      <c r="L26" s="1"/>
    </row>
    <row r="27" spans="1:12" ht="16.5">
      <c r="A27" s="29" t="s">
        <v>98</v>
      </c>
      <c r="B27" s="30">
        <v>0</v>
      </c>
      <c r="C27" s="30">
        <v>0</v>
      </c>
      <c r="D27" s="30">
        <v>0</v>
      </c>
      <c r="E27" s="30">
        <f>5040+6048</f>
        <v>11088</v>
      </c>
      <c r="F27" s="30">
        <v>0</v>
      </c>
      <c r="G27" s="30">
        <v>0</v>
      </c>
      <c r="H27" s="30">
        <v>0</v>
      </c>
      <c r="I27" s="30">
        <v>0</v>
      </c>
      <c r="J27" s="5">
        <f t="shared" si="2"/>
        <v>11088</v>
      </c>
      <c r="K27" s="1"/>
      <c r="L27" s="1"/>
    </row>
    <row r="28" spans="1:12" ht="16.5">
      <c r="A28" s="29" t="s">
        <v>99</v>
      </c>
      <c r="B28" s="30">
        <v>0</v>
      </c>
      <c r="C28" s="30">
        <v>0</v>
      </c>
      <c r="D28" s="30">
        <v>0</v>
      </c>
      <c r="E28" s="30">
        <f>672.87+2012.5+2415+807.45+630</f>
        <v>6537.82</v>
      </c>
      <c r="F28" s="30">
        <v>0</v>
      </c>
      <c r="G28" s="30">
        <v>0</v>
      </c>
      <c r="H28" s="30">
        <v>0</v>
      </c>
      <c r="I28" s="30">
        <v>0</v>
      </c>
      <c r="J28" s="5">
        <f t="shared" si="2"/>
        <v>6537.82</v>
      </c>
      <c r="K28" s="1"/>
      <c r="L28" s="1"/>
    </row>
    <row r="29" spans="1:12" ht="16.5">
      <c r="A29" s="47" t="s">
        <v>109</v>
      </c>
      <c r="B29" s="30">
        <v>0</v>
      </c>
      <c r="C29" s="30">
        <v>0</v>
      </c>
      <c r="D29" s="30">
        <v>0</v>
      </c>
      <c r="E29" s="30">
        <f>2991.36+7911.26</f>
        <v>10902.62</v>
      </c>
      <c r="F29" s="30">
        <v>0</v>
      </c>
      <c r="G29" s="30">
        <v>0</v>
      </c>
      <c r="H29" s="30">
        <v>0</v>
      </c>
      <c r="I29" s="30">
        <v>0</v>
      </c>
      <c r="J29" s="5">
        <f>SUM(B29:I29)</f>
        <v>10902.62</v>
      </c>
      <c r="K29" s="1"/>
      <c r="L29" s="1"/>
    </row>
    <row r="30" spans="1:12" ht="16.5">
      <c r="A30" s="47" t="s">
        <v>113</v>
      </c>
      <c r="B30" s="30">
        <v>0</v>
      </c>
      <c r="C30" s="30">
        <v>0</v>
      </c>
      <c r="D30" s="30">
        <v>0</v>
      </c>
      <c r="E30" s="30">
        <f>3471.56+4339.45+5207.34</f>
        <v>13018.35</v>
      </c>
      <c r="F30" s="30">
        <v>0</v>
      </c>
      <c r="G30" s="30">
        <v>0</v>
      </c>
      <c r="H30" s="30">
        <v>0</v>
      </c>
      <c r="I30" s="30">
        <v>0</v>
      </c>
      <c r="J30" s="5">
        <f>SUM(B30:I30)</f>
        <v>13018.35</v>
      </c>
      <c r="K30" s="1"/>
      <c r="L30" s="1"/>
    </row>
    <row r="31" spans="1:12" ht="16.5">
      <c r="A31" s="47" t="s">
        <v>115</v>
      </c>
      <c r="B31" s="30">
        <v>0</v>
      </c>
      <c r="C31" s="30">
        <v>0</v>
      </c>
      <c r="D31" s="30">
        <v>0</v>
      </c>
      <c r="E31" s="30">
        <f>107430.5+59427</f>
        <v>166857.5</v>
      </c>
      <c r="F31" s="30">
        <v>0</v>
      </c>
      <c r="G31" s="30">
        <v>0</v>
      </c>
      <c r="H31" s="30">
        <v>0</v>
      </c>
      <c r="I31" s="30">
        <v>0</v>
      </c>
      <c r="J31" s="5">
        <f>SUM(B31:I31)</f>
        <v>166857.5</v>
      </c>
      <c r="K31" s="1"/>
      <c r="L31" s="1"/>
    </row>
    <row r="32" spans="1:10" ht="16.5">
      <c r="A32" s="54" t="s">
        <v>119</v>
      </c>
      <c r="B32" s="42">
        <v>0</v>
      </c>
      <c r="C32" s="42">
        <v>0</v>
      </c>
      <c r="D32" s="42">
        <v>0</v>
      </c>
      <c r="E32" s="42">
        <f>2240.14+6720.43+4480.28</f>
        <v>13440.849999999999</v>
      </c>
      <c r="F32" s="42">
        <v>0</v>
      </c>
      <c r="G32" s="42">
        <v>0</v>
      </c>
      <c r="H32" s="42">
        <v>0</v>
      </c>
      <c r="I32" s="42">
        <v>0</v>
      </c>
      <c r="J32" s="43">
        <f>SUM(B32:I32)</f>
        <v>13440.849999999999</v>
      </c>
    </row>
    <row r="33" spans="1:10" ht="16.5">
      <c r="A33" s="54" t="s">
        <v>124</v>
      </c>
      <c r="B33" s="42">
        <f>3090.33</f>
        <v>3090.33</v>
      </c>
      <c r="C33" s="42">
        <v>0</v>
      </c>
      <c r="D33" s="42">
        <v>0</v>
      </c>
      <c r="E33" s="42">
        <f>3697.61+2603.65</f>
        <v>6301.26</v>
      </c>
      <c r="F33" s="42">
        <v>0</v>
      </c>
      <c r="G33" s="42">
        <v>0</v>
      </c>
      <c r="H33" s="42">
        <v>0</v>
      </c>
      <c r="I33" s="42">
        <v>0</v>
      </c>
      <c r="J33" s="43">
        <f>SUM(B33:I33)</f>
        <v>9391.59</v>
      </c>
    </row>
    <row r="34" spans="1:10" ht="16.5">
      <c r="A34" s="54" t="s">
        <v>141</v>
      </c>
      <c r="B34" s="42">
        <f>5193.27</f>
        <v>5193.27</v>
      </c>
      <c r="C34" s="42">
        <f>28679.66</f>
        <v>28679.66</v>
      </c>
      <c r="D34" s="42">
        <f>39645</f>
        <v>39645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3">
        <f aca="true" t="shared" si="3" ref="J34:J39">SUM(B34:I34)</f>
        <v>73517.93</v>
      </c>
    </row>
    <row r="35" spans="1:10" ht="16.5">
      <c r="A35" s="54" t="s">
        <v>142</v>
      </c>
      <c r="B35" s="42">
        <v>4287.24</v>
      </c>
      <c r="C35" s="42">
        <f>9416.4</f>
        <v>9416.4</v>
      </c>
      <c r="D35" s="42">
        <v>30835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3">
        <f t="shared" si="3"/>
        <v>44538.64</v>
      </c>
    </row>
    <row r="36" spans="1:10" ht="16.5">
      <c r="A36" s="54" t="s">
        <v>143</v>
      </c>
      <c r="B36" s="42">
        <f>3877.74</f>
        <v>3877.74</v>
      </c>
      <c r="C36" s="42">
        <v>24778.83</v>
      </c>
      <c r="D36" s="42">
        <f>74885</f>
        <v>74885</v>
      </c>
      <c r="E36" s="42">
        <v>0</v>
      </c>
      <c r="F36" s="42">
        <v>1154.4</v>
      </c>
      <c r="G36" s="42">
        <v>0</v>
      </c>
      <c r="H36" s="42">
        <v>0</v>
      </c>
      <c r="I36" s="42">
        <v>0</v>
      </c>
      <c r="J36" s="43">
        <f t="shared" si="3"/>
        <v>104695.97</v>
      </c>
    </row>
    <row r="37" spans="1:10" ht="16.5">
      <c r="A37" s="54" t="s">
        <v>144</v>
      </c>
      <c r="B37" s="42">
        <f>2440.8</f>
        <v>2440.8</v>
      </c>
      <c r="C37" s="42">
        <v>11140.08</v>
      </c>
      <c r="D37" s="42">
        <f>35240+4405</f>
        <v>39645</v>
      </c>
      <c r="E37" s="42">
        <f>24738+173925.5+688.2+88350+15252+3286+132447.5</f>
        <v>438687.2</v>
      </c>
      <c r="F37" s="42">
        <v>962</v>
      </c>
      <c r="G37" s="42">
        <v>0</v>
      </c>
      <c r="H37" s="42">
        <v>0</v>
      </c>
      <c r="I37" s="42">
        <v>0</v>
      </c>
      <c r="J37" s="43">
        <f t="shared" si="3"/>
        <v>492875.08</v>
      </c>
    </row>
    <row r="38" spans="1:10" ht="16.5">
      <c r="A38" s="54" t="s">
        <v>145</v>
      </c>
      <c r="B38" s="42">
        <f>2048.92</f>
        <v>2048.92</v>
      </c>
      <c r="C38" s="42">
        <f>2509.71</f>
        <v>2509.71</v>
      </c>
      <c r="D38" s="42">
        <f>8810</f>
        <v>8810</v>
      </c>
      <c r="E38" s="42">
        <f>2114+3129</f>
        <v>5243</v>
      </c>
      <c r="F38" s="42">
        <v>0</v>
      </c>
      <c r="G38" s="42">
        <v>0</v>
      </c>
      <c r="H38" s="42">
        <v>0</v>
      </c>
      <c r="I38" s="42">
        <v>0</v>
      </c>
      <c r="J38" s="43">
        <f t="shared" si="3"/>
        <v>18611.63</v>
      </c>
    </row>
    <row r="39" spans="1:10" ht="16.5">
      <c r="A39" s="54" t="s">
        <v>146</v>
      </c>
      <c r="B39" s="42">
        <f>2592.9+56</f>
        <v>2648.9</v>
      </c>
      <c r="C39" s="42">
        <v>4788</v>
      </c>
      <c r="D39" s="42">
        <f>13215+88</f>
        <v>13303</v>
      </c>
      <c r="E39" s="42">
        <f>48019</f>
        <v>48019</v>
      </c>
      <c r="F39" s="42">
        <v>0</v>
      </c>
      <c r="G39" s="42">
        <v>0</v>
      </c>
      <c r="H39" s="42">
        <v>0</v>
      </c>
      <c r="I39" s="42">
        <v>0</v>
      </c>
      <c r="J39" s="43">
        <f t="shared" si="3"/>
        <v>68758.9</v>
      </c>
    </row>
    <row r="40" spans="1:12" ht="16.5">
      <c r="A40" s="29" t="s">
        <v>104</v>
      </c>
      <c r="B40" s="30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5">
        <f t="shared" si="2"/>
        <v>0</v>
      </c>
      <c r="K40" s="1"/>
      <c r="L40" s="1"/>
    </row>
    <row r="41" spans="1:12" ht="16.5">
      <c r="A41" s="16" t="s">
        <v>26</v>
      </c>
      <c r="B41" s="30">
        <f>522972.41+8072.19+8064.18+5874.93</f>
        <v>544983.7100000001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5">
        <f t="shared" si="2"/>
        <v>544983.7100000001</v>
      </c>
      <c r="K41" s="1"/>
      <c r="L41" s="1"/>
    </row>
    <row r="42" spans="1:12" ht="16.5">
      <c r="A42" s="22" t="s">
        <v>9</v>
      </c>
      <c r="B42" s="30">
        <f>280+56+56+112+280+112+112+56+56+56+112+56+112+168+112+56+112+56+56+56+56+56+56+112+56+56+168+224+336+56+112+56+112+56+56+56+56+56+56+56+56+56+280+112+56+56+56+56+168+56+56+112+224+56+112+162.4+56+112+168+534.1+355.6+56+56+56+56+224+112</f>
        <v>7380.1</v>
      </c>
      <c r="C42" s="30">
        <f>575.89+93.1+199.5+444.25+521.03+483.15+950.95+2394+263.32+135.66+134.66+279.3+95.1+258.02+387.03+227.76+263.01+93.1+93.1+93.1+600.16+134.66+93.1+93.1+129.01+93.1+269.32+134+66.5+465.5+465.5+521.03+66.5+134.66+134.66+227.76+134.66+93.1+134.66+138.32+155.81+134.66+134+93.1+93.1+558.6+93.1+638.4+512.05+134.66+134.66+134.66+43.23+263.01+134.66+465.5+465.5+93.1+190.2+42.56+129.01+229.1+372.4+274.65+190.86+93.1+66.5+66.5+93.1+196.84+263.01+319.2</f>
        <v>18923.16</v>
      </c>
      <c r="D42" s="30">
        <f>440+88+88+176+704+264+176+176+88+88+176+176+264+264+88+264+264+352+264+440+176+88+88+88+264+88+88+264+264+704+88+352+88+264+88+264+528+88+352+176+176+88+88+88+440+176+88+264+176+176+264+88+88+176+352+88+176+88+88+176+264+264+88+88+88+88+176+792+176</f>
        <v>14608</v>
      </c>
      <c r="E42" s="30">
        <f>245+105+35+1120+245+350+350+5425+24742.2+1312.5+315+1295+35+1067.5+2415+4025+5040+70+420+1085+280+175+8050+140+1802.5+315</f>
        <v>60459.7</v>
      </c>
      <c r="F42" s="30">
        <f>327.08+2000.96+1654.64+1000.48+269.36+3097.64+10158.72+595.07+13660.4+1192.88</f>
        <v>33957.229999999996</v>
      </c>
      <c r="G42" s="30">
        <f>601.19+633.07+106.65</f>
        <v>1340.9100000000003</v>
      </c>
      <c r="H42" s="30">
        <f>18.66+9.33+9.33+18.66+9.33+9.33+18.66+9.33+9.33+9.33+9.33+9.33+9.33</f>
        <v>149.28000000000003</v>
      </c>
      <c r="I42" s="30">
        <v>0</v>
      </c>
      <c r="J42" s="5">
        <f t="shared" si="2"/>
        <v>136818.38</v>
      </c>
      <c r="K42" s="1"/>
      <c r="L42" s="1"/>
    </row>
    <row r="43" spans="1:12" ht="16.5">
      <c r="A43" s="22" t="s">
        <v>105</v>
      </c>
      <c r="B43" s="30">
        <v>0</v>
      </c>
      <c r="C43" s="30">
        <v>0</v>
      </c>
      <c r="D43" s="30"/>
      <c r="E43" s="30">
        <f>1440+4545+360+3600+2025+4050</f>
        <v>16020</v>
      </c>
      <c r="F43" s="30">
        <v>0</v>
      </c>
      <c r="G43" s="30">
        <v>0</v>
      </c>
      <c r="H43" s="30">
        <v>0</v>
      </c>
      <c r="I43" s="30">
        <v>0</v>
      </c>
      <c r="J43" s="5">
        <f t="shared" si="2"/>
        <v>16020</v>
      </c>
      <c r="K43" s="1"/>
      <c r="L43" s="1"/>
    </row>
    <row r="44" spans="1:12" ht="16.5">
      <c r="A44" s="22" t="s">
        <v>90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5">
        <f t="shared" si="2"/>
        <v>0</v>
      </c>
      <c r="K44" s="1"/>
      <c r="L44" s="1"/>
    </row>
    <row r="45" spans="1:12" ht="16.5">
      <c r="A45" s="16" t="s">
        <v>106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5">
        <f>54.49+84.72+132.1+161.19+1169.34+811.73+3666.83+461.69+1015.71+114.1</f>
        <v>7671.9</v>
      </c>
      <c r="K45" s="1"/>
      <c r="L45" s="1"/>
    </row>
    <row r="46" spans="1:12" ht="16.5">
      <c r="A46" s="16" t="s">
        <v>18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5">
        <f>50+50+50+88.72+50</f>
        <v>288.72</v>
      </c>
      <c r="K46" s="1"/>
      <c r="L46" s="1"/>
    </row>
    <row r="47" spans="1:12" ht="16.5">
      <c r="A47" s="38" t="s">
        <v>22</v>
      </c>
      <c r="B47" s="39">
        <v>0</v>
      </c>
      <c r="C47" s="39">
        <v>0</v>
      </c>
      <c r="D47" s="39">
        <v>0</v>
      </c>
      <c r="E47" s="39">
        <f>78000+260000</f>
        <v>338000</v>
      </c>
      <c r="F47" s="39">
        <v>0</v>
      </c>
      <c r="G47" s="39">
        <v>0</v>
      </c>
      <c r="H47" s="39">
        <v>0</v>
      </c>
      <c r="I47" s="39">
        <v>0</v>
      </c>
      <c r="J47" s="5">
        <f t="shared" si="2"/>
        <v>338000</v>
      </c>
      <c r="K47" s="1"/>
      <c r="L47" s="1"/>
    </row>
    <row r="48" spans="1:12" ht="17.25" thickBot="1">
      <c r="A48" s="36" t="s">
        <v>10</v>
      </c>
      <c r="B48" s="23">
        <f>SUM(B21:B47)</f>
        <v>576063.01</v>
      </c>
      <c r="C48" s="23">
        <f>SUM(C21:C47)</f>
        <v>167456.65999999997</v>
      </c>
      <c r="D48" s="23">
        <f>SUM(D21:D47)</f>
        <v>267341.58999999997</v>
      </c>
      <c r="E48" s="23">
        <f>SUM(E21:E47)</f>
        <v>1497102.51</v>
      </c>
      <c r="F48" s="23">
        <f>SUM(F21:F47)</f>
        <v>36362.229999999996</v>
      </c>
      <c r="G48" s="23">
        <f>SUM(G23:G47)</f>
        <v>1340.9100000000003</v>
      </c>
      <c r="H48" s="23">
        <f>SUM(H23:H47)</f>
        <v>149.28000000000003</v>
      </c>
      <c r="I48" s="23">
        <f>SUM(I23:I47)</f>
        <v>0</v>
      </c>
      <c r="J48" s="32">
        <f>SUM(J21:J47)</f>
        <v>2553776.8099999996</v>
      </c>
      <c r="K48" s="1"/>
      <c r="L48" s="1"/>
    </row>
    <row r="49" spans="1:12" ht="17.25" thickBot="1">
      <c r="A49" s="37" t="s">
        <v>131</v>
      </c>
      <c r="B49" s="24">
        <f aca="true" t="shared" si="4" ref="B49:I49">B19+B48</f>
        <v>593941.53</v>
      </c>
      <c r="C49" s="24">
        <f t="shared" si="4"/>
        <v>212339.84999999998</v>
      </c>
      <c r="D49" s="24">
        <f t="shared" si="4"/>
        <v>280772.58999999997</v>
      </c>
      <c r="E49" s="24">
        <f t="shared" si="4"/>
        <v>1639083.02</v>
      </c>
      <c r="F49" s="24">
        <f>F19+F48</f>
        <v>36843.229999999996</v>
      </c>
      <c r="G49" s="24">
        <f t="shared" si="4"/>
        <v>1340.9100000000003</v>
      </c>
      <c r="H49" s="24">
        <f t="shared" si="4"/>
        <v>149.28000000000003</v>
      </c>
      <c r="I49" s="24">
        <f t="shared" si="4"/>
        <v>0</v>
      </c>
      <c r="J49" s="25">
        <f>SUM(J48+J19)</f>
        <v>2772431.03</v>
      </c>
      <c r="K49" s="1"/>
      <c r="L49" s="17"/>
    </row>
    <row r="50" spans="2:10" ht="16.5">
      <c r="B50" s="45"/>
      <c r="C50" s="45"/>
      <c r="D50" s="45"/>
      <c r="E50" s="45"/>
      <c r="J50" s="55"/>
    </row>
    <row r="51" spans="2:10" ht="16.5">
      <c r="B51" s="45"/>
      <c r="C51" s="45"/>
      <c r="D51" s="45"/>
      <c r="G51" s="33"/>
      <c r="J51" s="57"/>
    </row>
    <row r="52" spans="2:10" ht="16.5">
      <c r="B52" s="33"/>
      <c r="C52" s="33"/>
      <c r="D52" s="33"/>
      <c r="E52" s="33"/>
      <c r="F52" s="33"/>
      <c r="J52" s="33"/>
    </row>
    <row r="53" ht="16.5">
      <c r="D53" s="33"/>
    </row>
  </sheetData>
  <sheetProtection password="C622" sheet="1"/>
  <mergeCells count="4">
    <mergeCell ref="A3:K3"/>
    <mergeCell ref="A4:K4"/>
    <mergeCell ref="A5:K5"/>
    <mergeCell ref="A7:J7"/>
  </mergeCells>
  <printOptions horizontalCentered="1" verticalCentered="1"/>
  <pageMargins left="0.31496062992125984" right="0.11811023622047245" top="1.1811023622047245" bottom="0.3937007874015748" header="0.31496062992125984" footer="0.31496062992125984"/>
  <pageSetup horizontalDpi="600" verticalDpi="600" orientation="landscape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="75" zoomScaleNormal="75" zoomScalePageLayoutView="0" workbookViewId="0" topLeftCell="A1">
      <pane ySplit="8" topLeftCell="A18" activePane="bottomLeft" state="frozen"/>
      <selection pane="topLeft" activeCell="A1" sqref="A1"/>
      <selection pane="bottomLeft" activeCell="B5" sqref="B5"/>
    </sheetView>
  </sheetViews>
  <sheetFormatPr defaultColWidth="9.140625" defaultRowHeight="15"/>
  <cols>
    <col min="1" max="1" width="75.00390625" style="7" customWidth="1"/>
    <col min="2" max="2" width="19.140625" style="7" customWidth="1"/>
    <col min="3" max="3" width="20.57421875" style="7" bestFit="1" customWidth="1"/>
    <col min="4" max="4" width="21.57421875" style="7" bestFit="1" customWidth="1"/>
    <col min="5" max="5" width="21.140625" style="7" bestFit="1" customWidth="1"/>
    <col min="6" max="6" width="18.00390625" style="7" bestFit="1" customWidth="1"/>
    <col min="7" max="7" width="15.8515625" style="7" bestFit="1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9478</v>
      </c>
      <c r="D1" s="28">
        <v>9681</v>
      </c>
      <c r="E1" s="20" t="s">
        <v>16</v>
      </c>
      <c r="F1" s="56" t="s">
        <v>162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1506</v>
      </c>
      <c r="D2" s="8">
        <v>1536</v>
      </c>
      <c r="E2" s="20" t="s">
        <v>16</v>
      </c>
      <c r="F2" s="8"/>
      <c r="G2" s="1"/>
      <c r="H2" s="1"/>
      <c r="I2" s="1"/>
      <c r="J2" s="1"/>
      <c r="K2" s="1"/>
    </row>
    <row r="3" spans="1:11" ht="16.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6.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6.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147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33">
      <c r="A8" s="21" t="s">
        <v>102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160</v>
      </c>
      <c r="K8" s="14"/>
    </row>
    <row r="9" spans="1:11" ht="16.5">
      <c r="A9" s="6" t="s">
        <v>11</v>
      </c>
      <c r="B9" s="2">
        <v>7857.55</v>
      </c>
      <c r="C9" s="2">
        <v>11872.17</v>
      </c>
      <c r="D9" s="2">
        <v>4271</v>
      </c>
      <c r="E9" s="2">
        <v>203596.99</v>
      </c>
      <c r="F9" s="2">
        <v>3367</v>
      </c>
      <c r="G9" s="2">
        <v>118.5</v>
      </c>
      <c r="H9" s="2" t="s">
        <v>161</v>
      </c>
      <c r="I9" s="2" t="s">
        <v>161</v>
      </c>
      <c r="J9" s="3">
        <v>231083.21</v>
      </c>
      <c r="K9" s="1"/>
    </row>
    <row r="10" spans="1:11" ht="16.5">
      <c r="A10" s="29" t="s">
        <v>46</v>
      </c>
      <c r="B10" s="2" t="s">
        <v>161</v>
      </c>
      <c r="C10" s="2" t="s">
        <v>161</v>
      </c>
      <c r="D10" s="2" t="s">
        <v>161</v>
      </c>
      <c r="E10" s="2">
        <v>216878.08</v>
      </c>
      <c r="F10" s="2" t="s">
        <v>161</v>
      </c>
      <c r="G10" s="2" t="s">
        <v>161</v>
      </c>
      <c r="H10" s="2" t="s">
        <v>161</v>
      </c>
      <c r="I10" s="2" t="s">
        <v>161</v>
      </c>
      <c r="J10" s="3">
        <v>216878.08</v>
      </c>
      <c r="K10" s="1"/>
    </row>
    <row r="11" spans="1:11" ht="16.5">
      <c r="A11" s="47" t="s">
        <v>149</v>
      </c>
      <c r="B11" s="48">
        <v>1087.07</v>
      </c>
      <c r="C11" s="48">
        <v>3458</v>
      </c>
      <c r="D11" s="48">
        <v>1101</v>
      </c>
      <c r="E11" s="48" t="s">
        <v>161</v>
      </c>
      <c r="F11" s="48" t="s">
        <v>161</v>
      </c>
      <c r="G11" s="48" t="s">
        <v>161</v>
      </c>
      <c r="H11" s="48" t="s">
        <v>161</v>
      </c>
      <c r="I11" s="48" t="s">
        <v>161</v>
      </c>
      <c r="J11" s="52">
        <v>5646.07</v>
      </c>
      <c r="K11" s="1"/>
    </row>
    <row r="12" spans="1:11" ht="16.5">
      <c r="A12" s="47" t="s">
        <v>150</v>
      </c>
      <c r="B12" s="48">
        <v>1087.07</v>
      </c>
      <c r="C12" s="48">
        <v>6916</v>
      </c>
      <c r="D12" s="48">
        <v>1101</v>
      </c>
      <c r="E12" s="48" t="s">
        <v>161</v>
      </c>
      <c r="F12" s="48" t="s">
        <v>161</v>
      </c>
      <c r="G12" s="48" t="s">
        <v>161</v>
      </c>
      <c r="H12" s="48" t="s">
        <v>161</v>
      </c>
      <c r="I12" s="48" t="s">
        <v>161</v>
      </c>
      <c r="J12" s="52">
        <v>9104.07</v>
      </c>
      <c r="K12" s="1"/>
    </row>
    <row r="13" spans="1:12" ht="16.5">
      <c r="A13" s="47" t="s">
        <v>151</v>
      </c>
      <c r="B13" s="48">
        <v>1087.07</v>
      </c>
      <c r="C13" s="48">
        <v>3910.2</v>
      </c>
      <c r="D13" s="48">
        <v>1101</v>
      </c>
      <c r="E13" s="48" t="s">
        <v>161</v>
      </c>
      <c r="F13" s="48" t="s">
        <v>161</v>
      </c>
      <c r="G13" s="48" t="s">
        <v>161</v>
      </c>
      <c r="H13" s="48" t="s">
        <v>161</v>
      </c>
      <c r="I13" s="48" t="s">
        <v>161</v>
      </c>
      <c r="J13" s="49">
        <v>6098.27</v>
      </c>
      <c r="K13" s="1"/>
      <c r="L13" s="1"/>
    </row>
    <row r="14" spans="1:12" s="51" customFormat="1" ht="16.5">
      <c r="A14" s="47" t="s">
        <v>152</v>
      </c>
      <c r="B14" s="48">
        <v>1087.07</v>
      </c>
      <c r="C14" s="48">
        <v>904.4</v>
      </c>
      <c r="D14" s="48">
        <v>1101</v>
      </c>
      <c r="E14" s="48" t="s">
        <v>161</v>
      </c>
      <c r="F14" s="48" t="s">
        <v>161</v>
      </c>
      <c r="G14" s="48" t="s">
        <v>161</v>
      </c>
      <c r="H14" s="48" t="s">
        <v>161</v>
      </c>
      <c r="I14" s="48" t="s">
        <v>161</v>
      </c>
      <c r="J14" s="49">
        <v>3092.47</v>
      </c>
      <c r="K14" s="50"/>
      <c r="L14" s="50"/>
    </row>
    <row r="15" spans="1:11" ht="16.5">
      <c r="A15" s="47" t="s">
        <v>153</v>
      </c>
      <c r="B15" s="48">
        <v>1087.07</v>
      </c>
      <c r="C15" s="48">
        <v>7966.7</v>
      </c>
      <c r="D15" s="53">
        <v>1101</v>
      </c>
      <c r="E15" s="48" t="s">
        <v>161</v>
      </c>
      <c r="F15" s="48" t="s">
        <v>161</v>
      </c>
      <c r="G15" s="48" t="s">
        <v>161</v>
      </c>
      <c r="H15" s="48" t="s">
        <v>161</v>
      </c>
      <c r="I15" s="48" t="s">
        <v>161</v>
      </c>
      <c r="J15" s="52">
        <v>10154.77</v>
      </c>
      <c r="K15" s="1"/>
    </row>
    <row r="16" spans="1:11" ht="16.5">
      <c r="A16" s="21" t="s">
        <v>8</v>
      </c>
      <c r="B16" s="4">
        <v>13292.9</v>
      </c>
      <c r="C16" s="4">
        <v>35027.47</v>
      </c>
      <c r="D16" s="4">
        <v>9776</v>
      </c>
      <c r="E16" s="40">
        <v>420475.07</v>
      </c>
      <c r="F16" s="4">
        <v>3367</v>
      </c>
      <c r="G16" s="4">
        <v>118.5</v>
      </c>
      <c r="H16" s="4" t="s">
        <v>161</v>
      </c>
      <c r="I16" s="4" t="s">
        <v>161</v>
      </c>
      <c r="J16" s="4">
        <v>482056.94</v>
      </c>
      <c r="K16" s="15"/>
    </row>
    <row r="17" spans="1:11" ht="33">
      <c r="A17" s="21" t="s">
        <v>13</v>
      </c>
      <c r="B17" s="34" t="s">
        <v>0</v>
      </c>
      <c r="C17" s="34" t="s">
        <v>1</v>
      </c>
      <c r="D17" s="34" t="s">
        <v>2</v>
      </c>
      <c r="E17" s="34" t="s">
        <v>3</v>
      </c>
      <c r="F17" s="35" t="s">
        <v>4</v>
      </c>
      <c r="G17" s="35" t="s">
        <v>5</v>
      </c>
      <c r="H17" s="35" t="s">
        <v>6</v>
      </c>
      <c r="I17" s="35" t="s">
        <v>7</v>
      </c>
      <c r="J17" s="5" t="s">
        <v>160</v>
      </c>
      <c r="K17" s="1"/>
    </row>
    <row r="18" spans="1:11" ht="16.5">
      <c r="A18" s="6" t="s">
        <v>108</v>
      </c>
      <c r="B18" s="31">
        <v>6806.35</v>
      </c>
      <c r="C18" s="31">
        <v>170173.47</v>
      </c>
      <c r="D18" s="31">
        <v>105784</v>
      </c>
      <c r="E18" s="31">
        <v>151487.09</v>
      </c>
      <c r="F18" s="44">
        <v>504.42</v>
      </c>
      <c r="G18" s="31">
        <v>53.72</v>
      </c>
      <c r="H18" s="31" t="s">
        <v>161</v>
      </c>
      <c r="I18" s="31" t="s">
        <v>161</v>
      </c>
      <c r="J18" s="5">
        <v>434809.05</v>
      </c>
      <c r="K18" s="1"/>
    </row>
    <row r="19" spans="1:11" ht="16.5">
      <c r="A19" s="6" t="s">
        <v>133</v>
      </c>
      <c r="B19" s="31" t="s">
        <v>161</v>
      </c>
      <c r="C19" s="31" t="s">
        <v>161</v>
      </c>
      <c r="D19" s="31" t="s">
        <v>161</v>
      </c>
      <c r="E19" s="31">
        <v>19531.21</v>
      </c>
      <c r="F19" s="31" t="s">
        <v>161</v>
      </c>
      <c r="G19" s="31" t="s">
        <v>161</v>
      </c>
      <c r="H19" s="31" t="s">
        <v>161</v>
      </c>
      <c r="I19" s="31" t="s">
        <v>161</v>
      </c>
      <c r="J19" s="5">
        <v>19531.21</v>
      </c>
      <c r="K19" s="1"/>
    </row>
    <row r="20" spans="1:12" ht="16.5">
      <c r="A20" s="29" t="s">
        <v>56</v>
      </c>
      <c r="B20" s="30" t="s">
        <v>161</v>
      </c>
      <c r="C20" s="30" t="s">
        <v>161</v>
      </c>
      <c r="D20" s="30" t="s">
        <v>161</v>
      </c>
      <c r="E20" s="30" t="s">
        <v>161</v>
      </c>
      <c r="F20" s="30" t="s">
        <v>161</v>
      </c>
      <c r="G20" s="30" t="s">
        <v>161</v>
      </c>
      <c r="H20" s="30" t="s">
        <v>161</v>
      </c>
      <c r="I20" s="30" t="s">
        <v>161</v>
      </c>
      <c r="J20" s="5" t="s">
        <v>161</v>
      </c>
      <c r="K20" s="1"/>
      <c r="L20" s="1"/>
    </row>
    <row r="21" spans="1:12" ht="16.5">
      <c r="A21" s="29" t="s">
        <v>67</v>
      </c>
      <c r="B21" s="30" t="s">
        <v>161</v>
      </c>
      <c r="C21" s="30" t="s">
        <v>161</v>
      </c>
      <c r="D21" s="30" t="s">
        <v>161</v>
      </c>
      <c r="E21" s="30">
        <v>16312.86</v>
      </c>
      <c r="F21" s="30" t="s">
        <v>161</v>
      </c>
      <c r="G21" s="30" t="s">
        <v>161</v>
      </c>
      <c r="H21" s="30" t="s">
        <v>161</v>
      </c>
      <c r="I21" s="30" t="s">
        <v>161</v>
      </c>
      <c r="J21" s="5">
        <v>16312.86</v>
      </c>
      <c r="K21" s="1"/>
      <c r="L21" s="1"/>
    </row>
    <row r="22" spans="1:12" ht="16.5">
      <c r="A22" s="29" t="s">
        <v>73</v>
      </c>
      <c r="B22" s="30" t="s">
        <v>161</v>
      </c>
      <c r="C22" s="30" t="s">
        <v>161</v>
      </c>
      <c r="D22" s="30" t="s">
        <v>161</v>
      </c>
      <c r="E22" s="30">
        <v>61658.07</v>
      </c>
      <c r="F22" s="30" t="s">
        <v>161</v>
      </c>
      <c r="G22" s="30" t="s">
        <v>161</v>
      </c>
      <c r="H22" s="30" t="s">
        <v>161</v>
      </c>
      <c r="I22" s="30" t="s">
        <v>161</v>
      </c>
      <c r="J22" s="5">
        <v>61658.07</v>
      </c>
      <c r="K22" s="1"/>
      <c r="L22" s="1"/>
    </row>
    <row r="23" spans="1:12" ht="16.5">
      <c r="A23" s="29" t="s">
        <v>134</v>
      </c>
      <c r="B23" s="30" t="s">
        <v>161</v>
      </c>
      <c r="C23" s="30" t="s">
        <v>161</v>
      </c>
      <c r="D23" s="30" t="s">
        <v>161</v>
      </c>
      <c r="E23" s="30">
        <v>17837.7</v>
      </c>
      <c r="F23" s="30" t="s">
        <v>161</v>
      </c>
      <c r="G23" s="30" t="s">
        <v>161</v>
      </c>
      <c r="H23" s="30" t="s">
        <v>161</v>
      </c>
      <c r="I23" s="30" t="s">
        <v>161</v>
      </c>
      <c r="J23" s="5">
        <v>17837.7</v>
      </c>
      <c r="K23" s="1"/>
      <c r="L23" s="1"/>
    </row>
    <row r="24" spans="1:12" ht="16.5">
      <c r="A24" s="29" t="s">
        <v>98</v>
      </c>
      <c r="B24" s="30" t="s">
        <v>161</v>
      </c>
      <c r="C24" s="30" t="s">
        <v>161</v>
      </c>
      <c r="D24" s="30" t="s">
        <v>161</v>
      </c>
      <c r="E24" s="30">
        <v>4082.4</v>
      </c>
      <c r="F24" s="30" t="s">
        <v>161</v>
      </c>
      <c r="G24" s="30" t="s">
        <v>161</v>
      </c>
      <c r="H24" s="30" t="s">
        <v>161</v>
      </c>
      <c r="I24" s="30" t="s">
        <v>161</v>
      </c>
      <c r="J24" s="5">
        <v>4082.4</v>
      </c>
      <c r="K24" s="1"/>
      <c r="L24" s="1"/>
    </row>
    <row r="25" spans="1:12" ht="16.5">
      <c r="A25" s="29" t="s">
        <v>99</v>
      </c>
      <c r="B25" s="30" t="s">
        <v>161</v>
      </c>
      <c r="C25" s="30" t="s">
        <v>161</v>
      </c>
      <c r="D25" s="30" t="s">
        <v>161</v>
      </c>
      <c r="E25" s="30" t="s">
        <v>161</v>
      </c>
      <c r="F25" s="30" t="s">
        <v>161</v>
      </c>
      <c r="G25" s="30" t="s">
        <v>161</v>
      </c>
      <c r="H25" s="30" t="s">
        <v>161</v>
      </c>
      <c r="I25" s="30" t="s">
        <v>161</v>
      </c>
      <c r="J25" s="5" t="s">
        <v>161</v>
      </c>
      <c r="K25" s="1"/>
      <c r="L25" s="1"/>
    </row>
    <row r="26" spans="1:12" ht="16.5">
      <c r="A26" s="47" t="s">
        <v>109</v>
      </c>
      <c r="B26" s="30" t="s">
        <v>161</v>
      </c>
      <c r="C26" s="30" t="s">
        <v>161</v>
      </c>
      <c r="D26" s="30" t="s">
        <v>161</v>
      </c>
      <c r="E26" s="30">
        <v>5786.43</v>
      </c>
      <c r="F26" s="30" t="s">
        <v>161</v>
      </c>
      <c r="G26" s="30" t="s">
        <v>161</v>
      </c>
      <c r="H26" s="30" t="s">
        <v>161</v>
      </c>
      <c r="I26" s="30" t="s">
        <v>161</v>
      </c>
      <c r="J26" s="5">
        <v>5786.43</v>
      </c>
      <c r="K26" s="1"/>
      <c r="L26" s="1"/>
    </row>
    <row r="27" spans="1:12" ht="16.5">
      <c r="A27" s="47" t="s">
        <v>113</v>
      </c>
      <c r="B27" s="30" t="s">
        <v>161</v>
      </c>
      <c r="C27" s="30" t="s">
        <v>161</v>
      </c>
      <c r="D27" s="30" t="s">
        <v>161</v>
      </c>
      <c r="E27" s="30">
        <v>13747.28</v>
      </c>
      <c r="F27" s="30" t="s">
        <v>161</v>
      </c>
      <c r="G27" s="30" t="s">
        <v>161</v>
      </c>
      <c r="H27" s="30" t="s">
        <v>161</v>
      </c>
      <c r="I27" s="30" t="s">
        <v>161</v>
      </c>
      <c r="J27" s="5">
        <v>13747.28</v>
      </c>
      <c r="K27" s="1"/>
      <c r="L27" s="1"/>
    </row>
    <row r="28" spans="1:12" ht="16.5">
      <c r="A28" s="47" t="s">
        <v>115</v>
      </c>
      <c r="B28" s="30" t="s">
        <v>161</v>
      </c>
      <c r="C28" s="30" t="s">
        <v>161</v>
      </c>
      <c r="D28" s="30" t="s">
        <v>161</v>
      </c>
      <c r="E28" s="30">
        <v>71312.4</v>
      </c>
      <c r="F28" s="30" t="s">
        <v>161</v>
      </c>
      <c r="G28" s="30" t="s">
        <v>161</v>
      </c>
      <c r="H28" s="30" t="s">
        <v>161</v>
      </c>
      <c r="I28" s="30" t="s">
        <v>161</v>
      </c>
      <c r="J28" s="5">
        <v>71312.4</v>
      </c>
      <c r="K28" s="1"/>
      <c r="L28" s="1"/>
    </row>
    <row r="29" spans="1:10" ht="16.5">
      <c r="A29" s="54" t="s">
        <v>119</v>
      </c>
      <c r="B29" s="42" t="s">
        <v>161</v>
      </c>
      <c r="C29" s="42" t="s">
        <v>161</v>
      </c>
      <c r="D29" s="42" t="s">
        <v>161</v>
      </c>
      <c r="E29" s="42">
        <v>5377.06</v>
      </c>
      <c r="F29" s="42" t="s">
        <v>161</v>
      </c>
      <c r="G29" s="42" t="s">
        <v>161</v>
      </c>
      <c r="H29" s="42" t="s">
        <v>161</v>
      </c>
      <c r="I29" s="42" t="s">
        <v>161</v>
      </c>
      <c r="J29" s="43">
        <v>5377.06</v>
      </c>
    </row>
    <row r="30" spans="1:10" ht="16.5">
      <c r="A30" s="54" t="s">
        <v>124</v>
      </c>
      <c r="B30" s="42" t="s">
        <v>161</v>
      </c>
      <c r="C30" s="42" t="s">
        <v>161</v>
      </c>
      <c r="D30" s="42" t="s">
        <v>161</v>
      </c>
      <c r="E30" s="42">
        <v>2767.95</v>
      </c>
      <c r="F30" s="42" t="s">
        <v>161</v>
      </c>
      <c r="G30" s="42" t="s">
        <v>161</v>
      </c>
      <c r="H30" s="42" t="s">
        <v>161</v>
      </c>
      <c r="I30" s="42" t="s">
        <v>161</v>
      </c>
      <c r="J30" s="43">
        <v>2767.95</v>
      </c>
    </row>
    <row r="31" spans="1:10" ht="16.5">
      <c r="A31" s="54" t="s">
        <v>144</v>
      </c>
      <c r="B31" s="42" t="s">
        <v>161</v>
      </c>
      <c r="C31" s="42" t="s">
        <v>161</v>
      </c>
      <c r="D31" s="42" t="s">
        <v>161</v>
      </c>
      <c r="E31" s="42">
        <v>362157.5</v>
      </c>
      <c r="F31" s="42" t="s">
        <v>161</v>
      </c>
      <c r="G31" s="42" t="s">
        <v>161</v>
      </c>
      <c r="H31" s="42" t="s">
        <v>161</v>
      </c>
      <c r="I31" s="42" t="s">
        <v>161</v>
      </c>
      <c r="J31" s="43">
        <v>362157.5</v>
      </c>
    </row>
    <row r="32" spans="1:10" ht="16.5">
      <c r="A32" s="54" t="s">
        <v>145</v>
      </c>
      <c r="B32" s="42" t="s">
        <v>161</v>
      </c>
      <c r="C32" s="42" t="s">
        <v>161</v>
      </c>
      <c r="D32" s="42" t="s">
        <v>161</v>
      </c>
      <c r="E32" s="42" t="s">
        <v>161</v>
      </c>
      <c r="F32" s="42" t="s">
        <v>161</v>
      </c>
      <c r="G32" s="42" t="s">
        <v>161</v>
      </c>
      <c r="H32" s="42" t="s">
        <v>161</v>
      </c>
      <c r="I32" s="42" t="s">
        <v>161</v>
      </c>
      <c r="J32" s="43" t="s">
        <v>161</v>
      </c>
    </row>
    <row r="33" spans="1:10" ht="16.5">
      <c r="A33" s="54" t="s">
        <v>146</v>
      </c>
      <c r="B33" s="42" t="s">
        <v>161</v>
      </c>
      <c r="C33" s="42" t="s">
        <v>161</v>
      </c>
      <c r="D33" s="42" t="s">
        <v>161</v>
      </c>
      <c r="E33" s="42" t="s">
        <v>161</v>
      </c>
      <c r="F33" s="42" t="s">
        <v>161</v>
      </c>
      <c r="G33" s="42" t="s">
        <v>161</v>
      </c>
      <c r="H33" s="42" t="s">
        <v>161</v>
      </c>
      <c r="I33" s="42" t="s">
        <v>161</v>
      </c>
      <c r="J33" s="43" t="s">
        <v>161</v>
      </c>
    </row>
    <row r="34" spans="1:10" ht="16.5">
      <c r="A34" s="54" t="s">
        <v>154</v>
      </c>
      <c r="B34" s="42">
        <v>4652.01</v>
      </c>
      <c r="C34" s="42">
        <v>25343.16</v>
      </c>
      <c r="D34" s="42">
        <v>26606</v>
      </c>
      <c r="E34" s="42" t="s">
        <v>161</v>
      </c>
      <c r="F34" s="42" t="s">
        <v>161</v>
      </c>
      <c r="G34" s="42" t="s">
        <v>161</v>
      </c>
      <c r="H34" s="42" t="s">
        <v>161</v>
      </c>
      <c r="I34" s="42" t="s">
        <v>161</v>
      </c>
      <c r="J34" s="43">
        <v>56601.17</v>
      </c>
    </row>
    <row r="35" spans="1:10" ht="16.5">
      <c r="A35" s="54" t="s">
        <v>163</v>
      </c>
      <c r="B35" s="42">
        <v>3933.02</v>
      </c>
      <c r="C35" s="42">
        <v>31002.3</v>
      </c>
      <c r="D35" s="42">
        <v>81092</v>
      </c>
      <c r="E35" s="42">
        <v>16272.86</v>
      </c>
      <c r="F35" s="42" t="s">
        <v>161</v>
      </c>
      <c r="G35" s="42" t="s">
        <v>161</v>
      </c>
      <c r="H35" s="42" t="s">
        <v>161</v>
      </c>
      <c r="I35" s="42" t="s">
        <v>161</v>
      </c>
      <c r="J35" s="43">
        <v>132300.18</v>
      </c>
    </row>
    <row r="36" spans="1:10" ht="16.5">
      <c r="A36" s="54" t="s">
        <v>155</v>
      </c>
      <c r="B36" s="42">
        <v>2712.51</v>
      </c>
      <c r="C36" s="42">
        <v>5036.71</v>
      </c>
      <c r="D36" s="42">
        <v>8810</v>
      </c>
      <c r="E36" s="42">
        <v>57350</v>
      </c>
      <c r="F36" s="42" t="s">
        <v>161</v>
      </c>
      <c r="G36" s="42" t="s">
        <v>161</v>
      </c>
      <c r="H36" s="42" t="s">
        <v>161</v>
      </c>
      <c r="I36" s="42" t="s">
        <v>161</v>
      </c>
      <c r="J36" s="43">
        <v>73909.22</v>
      </c>
    </row>
    <row r="37" spans="1:10" ht="16.5">
      <c r="A37" s="54" t="s">
        <v>156</v>
      </c>
      <c r="B37" s="42">
        <v>5969.16</v>
      </c>
      <c r="C37" s="42">
        <v>45197.39</v>
      </c>
      <c r="D37" s="42">
        <v>63630.38</v>
      </c>
      <c r="E37" s="42" t="s">
        <v>161</v>
      </c>
      <c r="F37" s="42" t="s">
        <v>161</v>
      </c>
      <c r="G37" s="42" t="s">
        <v>161</v>
      </c>
      <c r="H37" s="42" t="s">
        <v>161</v>
      </c>
      <c r="I37" s="42" t="s">
        <v>161</v>
      </c>
      <c r="J37" s="43">
        <v>114796.93</v>
      </c>
    </row>
    <row r="38" spans="1:10" ht="16.5">
      <c r="A38" s="54" t="s">
        <v>157</v>
      </c>
      <c r="B38" s="42">
        <v>2686.86</v>
      </c>
      <c r="C38" s="42">
        <v>7182</v>
      </c>
      <c r="D38" s="42">
        <v>8810</v>
      </c>
      <c r="E38" s="42">
        <v>64073.77</v>
      </c>
      <c r="F38" s="42" t="s">
        <v>161</v>
      </c>
      <c r="G38" s="42" t="s">
        <v>161</v>
      </c>
      <c r="H38" s="42" t="s">
        <v>161</v>
      </c>
      <c r="I38" s="42" t="s">
        <v>161</v>
      </c>
      <c r="J38" s="43">
        <v>82752.63</v>
      </c>
    </row>
    <row r="39" spans="1:12" ht="16.5">
      <c r="A39" s="29" t="s">
        <v>104</v>
      </c>
      <c r="B39" s="30" t="s">
        <v>161</v>
      </c>
      <c r="C39" s="30" t="s">
        <v>161</v>
      </c>
      <c r="D39" s="30" t="s">
        <v>161</v>
      </c>
      <c r="E39" s="30" t="s">
        <v>161</v>
      </c>
      <c r="F39" s="30" t="s">
        <v>161</v>
      </c>
      <c r="G39" s="30" t="s">
        <v>161</v>
      </c>
      <c r="H39" s="30" t="s">
        <v>161</v>
      </c>
      <c r="I39" s="30" t="s">
        <v>161</v>
      </c>
      <c r="J39" s="5" t="s">
        <v>161</v>
      </c>
      <c r="K39" s="1"/>
      <c r="L39" s="1"/>
    </row>
    <row r="40" spans="1:12" ht="16.5">
      <c r="A40" s="16" t="s">
        <v>26</v>
      </c>
      <c r="B40" s="30">
        <v>524879.97</v>
      </c>
      <c r="C40" s="30" t="s">
        <v>161</v>
      </c>
      <c r="D40" s="30" t="s">
        <v>161</v>
      </c>
      <c r="E40" s="30" t="s">
        <v>161</v>
      </c>
      <c r="F40" s="30" t="s">
        <v>161</v>
      </c>
      <c r="G40" s="30" t="s">
        <v>161</v>
      </c>
      <c r="H40" s="30" t="s">
        <v>161</v>
      </c>
      <c r="I40" s="30" t="s">
        <v>161</v>
      </c>
      <c r="J40" s="5">
        <v>524879.97</v>
      </c>
      <c r="K40" s="1"/>
      <c r="L40" s="1"/>
    </row>
    <row r="41" spans="1:12" ht="16.5">
      <c r="A41" s="22" t="s">
        <v>9</v>
      </c>
      <c r="B41" s="30">
        <v>7245</v>
      </c>
      <c r="C41" s="30">
        <v>25576.67</v>
      </c>
      <c r="D41" s="30">
        <v>18480</v>
      </c>
      <c r="E41" s="30">
        <v>115026.94</v>
      </c>
      <c r="F41" s="30">
        <v>38030.44</v>
      </c>
      <c r="G41" s="30">
        <v>1137.21</v>
      </c>
      <c r="H41" s="30">
        <v>214.59</v>
      </c>
      <c r="I41" s="30" t="s">
        <v>161</v>
      </c>
      <c r="J41" s="5">
        <v>205710.85</v>
      </c>
      <c r="K41" s="1"/>
      <c r="L41" s="1"/>
    </row>
    <row r="42" spans="1:12" ht="16.5">
      <c r="A42" s="22" t="s">
        <v>105</v>
      </c>
      <c r="B42" s="30" t="s">
        <v>161</v>
      </c>
      <c r="C42" s="30" t="s">
        <v>161</v>
      </c>
      <c r="D42" s="30" t="s">
        <v>161</v>
      </c>
      <c r="E42" s="30">
        <v>16245</v>
      </c>
      <c r="F42" s="30">
        <v>222.7</v>
      </c>
      <c r="G42" s="30" t="s">
        <v>161</v>
      </c>
      <c r="H42" s="30" t="s">
        <v>161</v>
      </c>
      <c r="I42" s="30" t="s">
        <v>161</v>
      </c>
      <c r="J42" s="5">
        <v>16467.7</v>
      </c>
      <c r="K42" s="1"/>
      <c r="L42" s="1"/>
    </row>
    <row r="43" spans="1:12" ht="16.5">
      <c r="A43" s="22" t="s">
        <v>90</v>
      </c>
      <c r="B43" s="30" t="s">
        <v>161</v>
      </c>
      <c r="C43" s="30" t="s">
        <v>161</v>
      </c>
      <c r="D43" s="30" t="s">
        <v>161</v>
      </c>
      <c r="E43" s="30" t="s">
        <v>161</v>
      </c>
      <c r="F43" s="30" t="s">
        <v>161</v>
      </c>
      <c r="G43" s="30" t="s">
        <v>161</v>
      </c>
      <c r="H43" s="30" t="s">
        <v>161</v>
      </c>
      <c r="I43" s="30" t="s">
        <v>161</v>
      </c>
      <c r="J43" s="5" t="s">
        <v>161</v>
      </c>
      <c r="K43" s="1"/>
      <c r="L43" s="1"/>
    </row>
    <row r="44" spans="1:12" ht="16.5">
      <c r="A44" s="16" t="s">
        <v>106</v>
      </c>
      <c r="B44" s="30" t="s">
        <v>161</v>
      </c>
      <c r="C44" s="30" t="s">
        <v>161</v>
      </c>
      <c r="D44" s="30" t="s">
        <v>161</v>
      </c>
      <c r="E44" s="30" t="s">
        <v>161</v>
      </c>
      <c r="F44" s="30" t="s">
        <v>161</v>
      </c>
      <c r="G44" s="30" t="s">
        <v>161</v>
      </c>
      <c r="H44" s="30" t="s">
        <v>161</v>
      </c>
      <c r="I44" s="30" t="s">
        <v>161</v>
      </c>
      <c r="J44" s="5">
        <v>15837.68</v>
      </c>
      <c r="K44" s="1"/>
      <c r="L44" s="1"/>
    </row>
    <row r="45" spans="1:12" ht="16.5">
      <c r="A45" s="16" t="s">
        <v>18</v>
      </c>
      <c r="B45" s="30" t="s">
        <v>161</v>
      </c>
      <c r="C45" s="30" t="s">
        <v>161</v>
      </c>
      <c r="D45" s="30" t="s">
        <v>161</v>
      </c>
      <c r="E45" s="30" t="s">
        <v>161</v>
      </c>
      <c r="F45" s="30" t="s">
        <v>161</v>
      </c>
      <c r="G45" s="30" t="s">
        <v>161</v>
      </c>
      <c r="H45" s="30" t="s">
        <v>161</v>
      </c>
      <c r="I45" s="30" t="s">
        <v>161</v>
      </c>
      <c r="J45" s="5">
        <v>578.72</v>
      </c>
      <c r="K45" s="1"/>
      <c r="L45" s="1"/>
    </row>
    <row r="46" spans="1:12" ht="16.5">
      <c r="A46" s="38" t="s">
        <v>22</v>
      </c>
      <c r="B46" s="39" t="s">
        <v>161</v>
      </c>
      <c r="C46" s="39" t="s">
        <v>161</v>
      </c>
      <c r="D46" s="39" t="s">
        <v>161</v>
      </c>
      <c r="E46" s="39">
        <v>373100</v>
      </c>
      <c r="F46" s="39" t="s">
        <v>161</v>
      </c>
      <c r="G46" s="39" t="s">
        <v>161</v>
      </c>
      <c r="H46" s="39" t="s">
        <v>161</v>
      </c>
      <c r="I46" s="39" t="s">
        <v>161</v>
      </c>
      <c r="J46" s="5">
        <v>373100</v>
      </c>
      <c r="K46" s="1"/>
      <c r="L46" s="1"/>
    </row>
    <row r="47" spans="1:12" ht="17.25" thickBot="1">
      <c r="A47" s="36" t="s">
        <v>10</v>
      </c>
      <c r="B47" s="23">
        <v>558884.88</v>
      </c>
      <c r="C47" s="23">
        <v>309511.7</v>
      </c>
      <c r="D47" s="23">
        <v>313212.38</v>
      </c>
      <c r="E47" s="23">
        <v>1374126.52</v>
      </c>
      <c r="F47" s="23">
        <v>38757.56</v>
      </c>
      <c r="G47" s="23">
        <v>1190.93</v>
      </c>
      <c r="H47" s="23">
        <v>214.59</v>
      </c>
      <c r="I47" s="23" t="s">
        <v>161</v>
      </c>
      <c r="J47" s="32">
        <v>2612314.96</v>
      </c>
      <c r="K47" s="1"/>
      <c r="L47" s="1"/>
    </row>
    <row r="48" spans="1:12" ht="17.25" thickBot="1">
      <c r="A48" s="37" t="s">
        <v>148</v>
      </c>
      <c r="B48" s="24">
        <v>572177.78</v>
      </c>
      <c r="C48" s="24">
        <v>344539.17</v>
      </c>
      <c r="D48" s="24">
        <v>322988.38</v>
      </c>
      <c r="E48" s="24">
        <v>1794601.59</v>
      </c>
      <c r="F48" s="24">
        <v>42124.56</v>
      </c>
      <c r="G48" s="24">
        <v>1309.43</v>
      </c>
      <c r="H48" s="24">
        <v>214.59</v>
      </c>
      <c r="I48" s="24" t="s">
        <v>161</v>
      </c>
      <c r="J48" s="25">
        <v>3094371.9</v>
      </c>
      <c r="K48" s="1"/>
      <c r="L48" s="17"/>
    </row>
    <row r="49" spans="2:10" ht="16.5">
      <c r="B49" s="45"/>
      <c r="C49" s="45"/>
      <c r="D49" s="45"/>
      <c r="E49" s="45"/>
      <c r="J49" s="57"/>
    </row>
    <row r="50" spans="2:10" ht="16.5">
      <c r="B50" s="45"/>
      <c r="C50" s="45"/>
      <c r="D50" s="45"/>
      <c r="E50" s="33"/>
      <c r="F50" s="33"/>
      <c r="J50" s="57"/>
    </row>
    <row r="51" spans="2:10" ht="16.5">
      <c r="B51" s="33"/>
      <c r="C51" s="33"/>
      <c r="D51" s="33"/>
      <c r="E51" s="33"/>
      <c r="F51" s="33"/>
      <c r="J51" s="33"/>
    </row>
    <row r="52" spans="4:10" ht="16.5">
      <c r="D52" s="33"/>
      <c r="J52" s="33"/>
    </row>
    <row r="55" ht="16.5">
      <c r="H55" s="33"/>
    </row>
  </sheetData>
  <sheetProtection password="C1E2" sheet="1"/>
  <mergeCells count="1">
    <mergeCell ref="A7:J7"/>
  </mergeCells>
  <printOptions horizontalCentered="1" verticalCentered="1"/>
  <pageMargins left="0.3937007874015748" right="0.11811023622047245" top="0.1968503937007874" bottom="0.1968503937007874" header="0.31496062992125984" footer="0.31496062992125984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="75" zoomScaleNormal="75" zoomScalePageLayoutView="0" workbookViewId="0" topLeftCell="A1">
      <pane ySplit="8" topLeftCell="A27" activePane="bottomLeft" state="frozen"/>
      <selection pane="topLeft" activeCell="A1" sqref="A1"/>
      <selection pane="bottomLeft" activeCell="A56" sqref="A56"/>
    </sheetView>
  </sheetViews>
  <sheetFormatPr defaultColWidth="9.140625" defaultRowHeight="15"/>
  <cols>
    <col min="1" max="1" width="89.57421875" style="7" customWidth="1"/>
    <col min="2" max="4" width="17.421875" style="7" customWidth="1"/>
    <col min="5" max="5" width="19.57421875" style="7" customWidth="1"/>
    <col min="6" max="6" width="16.140625" style="7" customWidth="1"/>
    <col min="7" max="7" width="14.57421875" style="7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9682</v>
      </c>
      <c r="D1" s="28">
        <v>9852</v>
      </c>
      <c r="E1" s="20" t="s">
        <v>16</v>
      </c>
      <c r="F1" s="56" t="s">
        <v>164</v>
      </c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1537</v>
      </c>
      <c r="D2" s="8">
        <v>1569</v>
      </c>
      <c r="E2" s="20" t="s">
        <v>16</v>
      </c>
      <c r="F2" s="8"/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158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49.5">
      <c r="A8" s="21" t="s">
        <v>102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f>294+56+112+294+56+336+224</f>
        <v>1372</v>
      </c>
      <c r="C9" s="2">
        <f>237.74+260.68+475.48+584.53+521.35</f>
        <v>2079.78</v>
      </c>
      <c r="D9" s="2">
        <f>88+88+176+88+88+528+352</f>
        <v>1408</v>
      </c>
      <c r="E9" s="2">
        <f>7987.69</f>
        <v>7987.69</v>
      </c>
      <c r="F9" s="2">
        <f>538.72</f>
        <v>538.72</v>
      </c>
      <c r="G9" s="2">
        <v>0</v>
      </c>
      <c r="H9" s="2">
        <v>0</v>
      </c>
      <c r="I9" s="2">
        <v>0</v>
      </c>
      <c r="J9" s="3">
        <f aca="true" t="shared" si="0" ref="J9:J14">SUM(B9:I9)</f>
        <v>13386.19</v>
      </c>
      <c r="K9" s="1"/>
    </row>
    <row r="10" spans="1:11" ht="16.5">
      <c r="A10" s="29" t="s">
        <v>46</v>
      </c>
      <c r="B10" s="2">
        <v>0</v>
      </c>
      <c r="C10" s="2">
        <v>0</v>
      </c>
      <c r="D10" s="2">
        <v>0</v>
      </c>
      <c r="E10" s="2">
        <f>25421.59+42906.78+55361.53+19159.46</f>
        <v>142849.36</v>
      </c>
      <c r="F10" s="2">
        <v>0</v>
      </c>
      <c r="G10" s="2">
        <v>0</v>
      </c>
      <c r="H10" s="2">
        <v>0</v>
      </c>
      <c r="I10" s="2">
        <v>0</v>
      </c>
      <c r="J10" s="3">
        <f t="shared" si="0"/>
        <v>142849.36</v>
      </c>
      <c r="K10" s="1"/>
    </row>
    <row r="11" spans="1:11" ht="16.5">
      <c r="A11" s="47" t="s">
        <v>166</v>
      </c>
      <c r="B11" s="48">
        <v>1087.07</v>
      </c>
      <c r="C11" s="48">
        <v>904.4</v>
      </c>
      <c r="D11" s="48">
        <v>1101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52">
        <f t="shared" si="0"/>
        <v>3092.47</v>
      </c>
      <c r="K11" s="1"/>
    </row>
    <row r="12" spans="1:11" ht="16.5">
      <c r="A12" s="47" t="s">
        <v>167</v>
      </c>
      <c r="B12" s="48">
        <v>1087.07</v>
      </c>
      <c r="C12" s="48">
        <v>4960.9</v>
      </c>
      <c r="D12" s="48">
        <v>1101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52">
        <f t="shared" si="0"/>
        <v>7148.969999999999</v>
      </c>
      <c r="K12" s="1"/>
    </row>
    <row r="13" spans="1:12" ht="16.5">
      <c r="A13" s="47" t="s">
        <v>168</v>
      </c>
      <c r="B13" s="48">
        <v>1087.07</v>
      </c>
      <c r="C13" s="48">
        <v>1356.6</v>
      </c>
      <c r="D13" s="48">
        <v>1101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9">
        <f t="shared" si="0"/>
        <v>3544.67</v>
      </c>
      <c r="K13" s="1"/>
      <c r="L13" s="1"/>
    </row>
    <row r="14" spans="1:12" s="51" customFormat="1" ht="16.5">
      <c r="A14" s="47" t="s">
        <v>169</v>
      </c>
      <c r="B14" s="48">
        <v>1087.07</v>
      </c>
      <c r="C14" s="48">
        <v>2407.3</v>
      </c>
      <c r="D14" s="48">
        <v>1101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9">
        <f t="shared" si="0"/>
        <v>4595.37</v>
      </c>
      <c r="K14" s="50"/>
      <c r="L14" s="50"/>
    </row>
    <row r="15" spans="1:11" ht="16.5">
      <c r="A15" s="21" t="s">
        <v>8</v>
      </c>
      <c r="B15" s="4">
        <f aca="true" t="shared" si="1" ref="B15:J15">SUM(B9:B14)</f>
        <v>5720.279999999999</v>
      </c>
      <c r="C15" s="4">
        <f t="shared" si="1"/>
        <v>11708.98</v>
      </c>
      <c r="D15" s="4">
        <f t="shared" si="1"/>
        <v>5812</v>
      </c>
      <c r="E15" s="40">
        <f t="shared" si="1"/>
        <v>150837.05</v>
      </c>
      <c r="F15" s="4">
        <f t="shared" si="1"/>
        <v>538.72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174617.03</v>
      </c>
      <c r="K15" s="15"/>
    </row>
    <row r="16" spans="1:11" ht="49.5">
      <c r="A16" s="21" t="s">
        <v>13</v>
      </c>
      <c r="B16" s="34" t="s">
        <v>0</v>
      </c>
      <c r="C16" s="34" t="s">
        <v>1</v>
      </c>
      <c r="D16" s="34" t="s">
        <v>2</v>
      </c>
      <c r="E16" s="34" t="s">
        <v>3</v>
      </c>
      <c r="F16" s="35" t="s">
        <v>4</v>
      </c>
      <c r="G16" s="35" t="s">
        <v>5</v>
      </c>
      <c r="H16" s="35" t="s">
        <v>6</v>
      </c>
      <c r="I16" s="35" t="s">
        <v>7</v>
      </c>
      <c r="J16" s="5" t="s">
        <v>14</v>
      </c>
      <c r="K16" s="1"/>
    </row>
    <row r="17" spans="1:11" ht="16.5">
      <c r="A17" s="6" t="s">
        <v>108</v>
      </c>
      <c r="B17" s="31">
        <f>294+316.4+294+294</f>
        <v>1198.4</v>
      </c>
      <c r="C17" s="31">
        <f>7337.61+12180.14+237.74+4974.2+10074.09+4760.07+16199.4+455.86+11441.68</f>
        <v>67660.79000000001</v>
      </c>
      <c r="D17" s="31">
        <f>6606+11010+1101+4404+8896+5505+15414+1101+12111</f>
        <v>66148</v>
      </c>
      <c r="E17" s="31">
        <f>490+105126.24+829.2</f>
        <v>106445.44</v>
      </c>
      <c r="F17" s="44">
        <f>404.04</f>
        <v>404.04</v>
      </c>
      <c r="G17" s="31">
        <f>39.5</f>
        <v>39.5</v>
      </c>
      <c r="H17" s="31">
        <v>0</v>
      </c>
      <c r="I17" s="31">
        <v>0</v>
      </c>
      <c r="J17" s="5">
        <f aca="true" t="shared" si="2" ref="J17:J24">SUM(B17:I17)</f>
        <v>241896.17</v>
      </c>
      <c r="K17" s="1"/>
    </row>
    <row r="18" spans="1:11" ht="16.5">
      <c r="A18" s="6" t="s">
        <v>133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5">
        <f t="shared" si="2"/>
        <v>0</v>
      </c>
      <c r="K18" s="1"/>
    </row>
    <row r="19" spans="1:12" ht="16.5">
      <c r="A19" s="29" t="s">
        <v>56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5">
        <f t="shared" si="2"/>
        <v>0</v>
      </c>
      <c r="K19" s="1"/>
      <c r="L19" s="1"/>
    </row>
    <row r="20" spans="1:12" ht="16.5">
      <c r="A20" s="29" t="s">
        <v>67</v>
      </c>
      <c r="B20" s="30">
        <v>0</v>
      </c>
      <c r="C20" s="30">
        <v>0</v>
      </c>
      <c r="D20" s="30">
        <v>0</v>
      </c>
      <c r="E20" s="30">
        <f>19575.2+23490.35</f>
        <v>43065.55</v>
      </c>
      <c r="F20" s="30">
        <v>0</v>
      </c>
      <c r="G20" s="30">
        <v>0</v>
      </c>
      <c r="H20" s="30">
        <v>0</v>
      </c>
      <c r="I20" s="30">
        <v>0</v>
      </c>
      <c r="J20" s="5">
        <f t="shared" si="2"/>
        <v>43065.55</v>
      </c>
      <c r="K20" s="1"/>
      <c r="L20" s="1"/>
    </row>
    <row r="21" spans="1:12" ht="16.5">
      <c r="A21" s="29" t="s">
        <v>73</v>
      </c>
      <c r="B21" s="30">
        <v>0</v>
      </c>
      <c r="C21" s="30">
        <v>0</v>
      </c>
      <c r="D21" s="30">
        <v>0</v>
      </c>
      <c r="E21" s="30">
        <f>45897.83</f>
        <v>45897.83</v>
      </c>
      <c r="F21" s="30">
        <v>0</v>
      </c>
      <c r="G21" s="30">
        <v>0</v>
      </c>
      <c r="H21" s="30">
        <v>0</v>
      </c>
      <c r="I21" s="30">
        <v>0</v>
      </c>
      <c r="J21" s="5">
        <f t="shared" si="2"/>
        <v>45897.83</v>
      </c>
      <c r="K21" s="1"/>
      <c r="L21" s="1"/>
    </row>
    <row r="22" spans="1:12" ht="16.5">
      <c r="A22" s="29" t="s">
        <v>134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5">
        <f t="shared" si="2"/>
        <v>0</v>
      </c>
      <c r="K22" s="1"/>
      <c r="L22" s="1"/>
    </row>
    <row r="23" spans="1:12" ht="16.5">
      <c r="A23" s="29" t="s">
        <v>98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5">
        <f t="shared" si="2"/>
        <v>0</v>
      </c>
      <c r="K23" s="1"/>
      <c r="L23" s="1"/>
    </row>
    <row r="24" spans="1:12" ht="16.5">
      <c r="A24" s="29" t="s">
        <v>99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5">
        <f t="shared" si="2"/>
        <v>0</v>
      </c>
      <c r="K24" s="1"/>
      <c r="L24" s="1"/>
    </row>
    <row r="25" spans="1:12" ht="16.5">
      <c r="A25" s="47" t="s">
        <v>109</v>
      </c>
      <c r="B25" s="30">
        <v>0</v>
      </c>
      <c r="C25" s="30">
        <v>0</v>
      </c>
      <c r="D25" s="30">
        <v>0</v>
      </c>
      <c r="E25" s="30">
        <f>3423</f>
        <v>3423</v>
      </c>
      <c r="F25" s="30">
        <v>0</v>
      </c>
      <c r="G25" s="30">
        <v>0</v>
      </c>
      <c r="H25" s="30">
        <v>0</v>
      </c>
      <c r="I25" s="30">
        <v>0</v>
      </c>
      <c r="J25" s="5">
        <f aca="true" t="shared" si="3" ref="J25:J32">SUM(B25:I25)</f>
        <v>3423</v>
      </c>
      <c r="K25" s="1"/>
      <c r="L25" s="1"/>
    </row>
    <row r="26" spans="1:12" ht="16.5">
      <c r="A26" s="47" t="s">
        <v>113</v>
      </c>
      <c r="B26" s="30">
        <v>0</v>
      </c>
      <c r="C26" s="30">
        <v>0</v>
      </c>
      <c r="D26" s="30">
        <v>0</v>
      </c>
      <c r="E26" s="30">
        <f>8998.26</f>
        <v>8998.26</v>
      </c>
      <c r="F26" s="30">
        <v>0</v>
      </c>
      <c r="G26" s="30">
        <v>0</v>
      </c>
      <c r="H26" s="30">
        <v>0</v>
      </c>
      <c r="I26" s="30">
        <v>0</v>
      </c>
      <c r="J26" s="5">
        <f t="shared" si="3"/>
        <v>8998.26</v>
      </c>
      <c r="K26" s="1"/>
      <c r="L26" s="1"/>
    </row>
    <row r="27" spans="1:12" ht="16.5">
      <c r="A27" s="47" t="s">
        <v>115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5">
        <f t="shared" si="3"/>
        <v>0</v>
      </c>
      <c r="K27" s="1"/>
      <c r="L27" s="1"/>
    </row>
    <row r="28" spans="1:10" ht="16.5">
      <c r="A28" s="54" t="s">
        <v>119</v>
      </c>
      <c r="B28" s="42">
        <v>0</v>
      </c>
      <c r="C28" s="42">
        <v>0</v>
      </c>
      <c r="D28" s="42">
        <v>0</v>
      </c>
      <c r="E28" s="42">
        <f>5880.08+7057.54</f>
        <v>12937.619999999999</v>
      </c>
      <c r="F28" s="42">
        <v>0</v>
      </c>
      <c r="G28" s="42">
        <v>0</v>
      </c>
      <c r="H28" s="42">
        <v>0</v>
      </c>
      <c r="I28" s="42">
        <v>0</v>
      </c>
      <c r="J28" s="43">
        <f t="shared" si="3"/>
        <v>12937.619999999999</v>
      </c>
    </row>
    <row r="29" spans="1:10" ht="16.5">
      <c r="A29" s="54" t="s">
        <v>124</v>
      </c>
      <c r="B29" s="42">
        <v>0</v>
      </c>
      <c r="C29" s="42">
        <v>0</v>
      </c>
      <c r="D29" s="42">
        <v>0</v>
      </c>
      <c r="E29" s="42">
        <f>1810.35+1447.8</f>
        <v>3258.1499999999996</v>
      </c>
      <c r="F29" s="42">
        <v>0</v>
      </c>
      <c r="G29" s="42">
        <v>0</v>
      </c>
      <c r="H29" s="42">
        <v>0</v>
      </c>
      <c r="I29" s="42">
        <v>0</v>
      </c>
      <c r="J29" s="43">
        <f t="shared" si="3"/>
        <v>3258.1499999999996</v>
      </c>
    </row>
    <row r="30" spans="1:10" ht="16.5">
      <c r="A30" s="54" t="s">
        <v>144</v>
      </c>
      <c r="B30" s="42">
        <v>0</v>
      </c>
      <c r="C30" s="42">
        <v>0</v>
      </c>
      <c r="D30" s="42">
        <v>0</v>
      </c>
      <c r="E30" s="42">
        <f>40510.8</f>
        <v>40510.8</v>
      </c>
      <c r="F30" s="42">
        <v>0</v>
      </c>
      <c r="G30" s="42">
        <v>0</v>
      </c>
      <c r="H30" s="42">
        <v>0</v>
      </c>
      <c r="I30" s="42">
        <v>0</v>
      </c>
      <c r="J30" s="43">
        <f t="shared" si="3"/>
        <v>40510.8</v>
      </c>
    </row>
    <row r="31" spans="1:10" ht="16.5">
      <c r="A31" s="54" t="s">
        <v>145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3">
        <f t="shared" si="3"/>
        <v>0</v>
      </c>
    </row>
    <row r="32" spans="1:10" ht="16.5">
      <c r="A32" s="54" t="s">
        <v>146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3">
        <f t="shared" si="3"/>
        <v>0</v>
      </c>
    </row>
    <row r="33" spans="1:10" ht="16.5">
      <c r="A33" s="54" t="s">
        <v>154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3">
        <f>SUM(B33:I33)</f>
        <v>0</v>
      </c>
    </row>
    <row r="34" spans="1:10" ht="16.5">
      <c r="A34" s="54" t="s">
        <v>163</v>
      </c>
      <c r="B34" s="42">
        <v>0</v>
      </c>
      <c r="C34" s="42">
        <v>0</v>
      </c>
      <c r="D34" s="42">
        <v>0</v>
      </c>
      <c r="E34" s="42">
        <f>29342.16+5748.37</f>
        <v>35090.53</v>
      </c>
      <c r="F34" s="42">
        <v>0</v>
      </c>
      <c r="G34" s="42">
        <v>0</v>
      </c>
      <c r="H34" s="42">
        <v>0</v>
      </c>
      <c r="I34" s="42">
        <v>0</v>
      </c>
      <c r="J34" s="43">
        <f>SUM(B34:I34)</f>
        <v>35090.53</v>
      </c>
    </row>
    <row r="35" spans="1:10" ht="16.5">
      <c r="A35" s="54" t="s">
        <v>155</v>
      </c>
      <c r="B35" s="42">
        <v>0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3">
        <f>SUM(B35:I35)</f>
        <v>0</v>
      </c>
    </row>
    <row r="36" spans="1:10" ht="16.5">
      <c r="A36" s="54" t="s">
        <v>157</v>
      </c>
      <c r="B36" s="42">
        <v>0</v>
      </c>
      <c r="C36" s="42">
        <v>0</v>
      </c>
      <c r="D36" s="42">
        <v>0</v>
      </c>
      <c r="E36" s="42">
        <f>279+93000+217000</f>
        <v>310279</v>
      </c>
      <c r="F36" s="42">
        <v>0</v>
      </c>
      <c r="G36" s="42">
        <v>0</v>
      </c>
      <c r="H36" s="42">
        <v>0</v>
      </c>
      <c r="I36" s="42">
        <v>0</v>
      </c>
      <c r="J36" s="43">
        <f aca="true" t="shared" si="4" ref="J36:J41">SUM(B36:I36)</f>
        <v>310279</v>
      </c>
    </row>
    <row r="37" spans="1:10" ht="16.5">
      <c r="A37" s="54" t="s">
        <v>165</v>
      </c>
      <c r="B37" s="42">
        <f>6309.18+112</f>
        <v>6421.18</v>
      </c>
      <c r="C37" s="42">
        <f>10624.04</f>
        <v>10624.04</v>
      </c>
      <c r="D37" s="42">
        <f>30835+176</f>
        <v>31011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3">
        <f t="shared" si="4"/>
        <v>48056.22</v>
      </c>
    </row>
    <row r="38" spans="1:10" ht="16.5">
      <c r="A38" s="54" t="s">
        <v>170</v>
      </c>
      <c r="B38" s="42">
        <f>5279.04</f>
        <v>5279.04</v>
      </c>
      <c r="C38" s="42">
        <f>15122.1</f>
        <v>15122.1</v>
      </c>
      <c r="D38" s="42">
        <f>39645</f>
        <v>39645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3">
        <f t="shared" si="4"/>
        <v>60046.14</v>
      </c>
    </row>
    <row r="39" spans="1:10" ht="16.5">
      <c r="A39" s="54" t="s">
        <v>171</v>
      </c>
      <c r="B39" s="42">
        <f>4083.66+56</f>
        <v>4139.66</v>
      </c>
      <c r="C39" s="42">
        <f>35870.1</f>
        <v>35870.1</v>
      </c>
      <c r="D39" s="42">
        <f>83695+88</f>
        <v>83783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3">
        <f t="shared" si="4"/>
        <v>123792.76</v>
      </c>
    </row>
    <row r="40" spans="1:10" ht="16.5">
      <c r="A40" s="58" t="s">
        <v>172</v>
      </c>
      <c r="B40" s="42">
        <f>2478.6</f>
        <v>2478.6</v>
      </c>
      <c r="C40" s="42">
        <f>6427.16</f>
        <v>6427.16</v>
      </c>
      <c r="D40" s="42">
        <f>17620</f>
        <v>17620</v>
      </c>
      <c r="E40" s="42">
        <f>3906</f>
        <v>3906</v>
      </c>
      <c r="F40" s="42">
        <v>0</v>
      </c>
      <c r="G40" s="42">
        <v>0</v>
      </c>
      <c r="H40" s="42">
        <v>0</v>
      </c>
      <c r="I40" s="42">
        <v>0</v>
      </c>
      <c r="J40" s="43">
        <f t="shared" si="4"/>
        <v>30431.760000000002</v>
      </c>
    </row>
    <row r="41" spans="1:10" ht="16.5">
      <c r="A41" s="54" t="s">
        <v>173</v>
      </c>
      <c r="B41" s="42">
        <f>1929.75+56</f>
        <v>1985.75</v>
      </c>
      <c r="C41" s="42">
        <f>10745.07</f>
        <v>10745.07</v>
      </c>
      <c r="D41" s="42">
        <f>88+31570.8</f>
        <v>31658.8</v>
      </c>
      <c r="E41" s="42">
        <f>6605.08</f>
        <v>6605.08</v>
      </c>
      <c r="F41" s="42">
        <f>288.6</f>
        <v>288.6</v>
      </c>
      <c r="G41" s="42">
        <v>0</v>
      </c>
      <c r="H41" s="42">
        <v>0</v>
      </c>
      <c r="I41" s="42">
        <v>0</v>
      </c>
      <c r="J41" s="43">
        <f t="shared" si="4"/>
        <v>51283.299999999996</v>
      </c>
    </row>
    <row r="42" spans="1:10" ht="16.5">
      <c r="A42" s="54" t="s">
        <v>174</v>
      </c>
      <c r="B42" s="42">
        <f>4269.51+112</f>
        <v>4381.51</v>
      </c>
      <c r="C42" s="42">
        <v>24718.05</v>
      </c>
      <c r="D42" s="42">
        <f>35240+176</f>
        <v>35416</v>
      </c>
      <c r="E42" s="42">
        <v>0</v>
      </c>
      <c r="F42" s="42">
        <v>3059.16</v>
      </c>
      <c r="G42" s="42">
        <v>0</v>
      </c>
      <c r="H42" s="42">
        <v>0</v>
      </c>
      <c r="I42" s="42">
        <v>0</v>
      </c>
      <c r="J42" s="43">
        <f aca="true" t="shared" si="5" ref="J42:J50">SUM(B42:I42)</f>
        <v>67574.72</v>
      </c>
    </row>
    <row r="43" spans="1:10" ht="16.5">
      <c r="A43" s="54" t="s">
        <v>175</v>
      </c>
      <c r="B43" s="42">
        <f>2592.9</f>
        <v>2592.9</v>
      </c>
      <c r="C43" s="42">
        <f>3591</f>
        <v>3591</v>
      </c>
      <c r="D43" s="42">
        <f>13215</f>
        <v>13215</v>
      </c>
      <c r="E43" s="42">
        <f>46810+1323+3100</f>
        <v>51233</v>
      </c>
      <c r="F43" s="42">
        <v>0</v>
      </c>
      <c r="G43" s="42">
        <v>0</v>
      </c>
      <c r="H43" s="42">
        <v>0</v>
      </c>
      <c r="I43" s="42">
        <v>0</v>
      </c>
      <c r="J43" s="43">
        <f t="shared" si="5"/>
        <v>70631.9</v>
      </c>
    </row>
    <row r="44" spans="1:10" ht="16.5">
      <c r="A44" s="54" t="s">
        <v>176</v>
      </c>
      <c r="B44" s="42">
        <f>3123.09+112</f>
        <v>3235.09</v>
      </c>
      <c r="C44" s="42">
        <f>31953.25</f>
        <v>31953.25</v>
      </c>
      <c r="D44" s="42">
        <f>52616.84+176</f>
        <v>52792.84</v>
      </c>
      <c r="E44" s="42">
        <v>0</v>
      </c>
      <c r="F44" s="42">
        <f>1539.2</f>
        <v>1539.2</v>
      </c>
      <c r="G44" s="42">
        <v>0</v>
      </c>
      <c r="H44" s="42">
        <v>0</v>
      </c>
      <c r="I44" s="42">
        <v>0</v>
      </c>
      <c r="J44" s="43">
        <f t="shared" si="5"/>
        <v>89520.37999999999</v>
      </c>
    </row>
    <row r="45" spans="1:10" ht="16.5">
      <c r="A45" s="54" t="s">
        <v>177</v>
      </c>
      <c r="B45" s="42">
        <v>5629.68</v>
      </c>
      <c r="C45" s="42">
        <v>10095.76</v>
      </c>
      <c r="D45" s="42">
        <v>30835</v>
      </c>
      <c r="E45" s="42">
        <v>0</v>
      </c>
      <c r="F45" s="42">
        <v>1924</v>
      </c>
      <c r="G45" s="42">
        <v>0</v>
      </c>
      <c r="H45" s="42">
        <v>0</v>
      </c>
      <c r="I45" s="42">
        <v>0</v>
      </c>
      <c r="J45" s="43">
        <f>SUM(B45:I45)</f>
        <v>48484.44</v>
      </c>
    </row>
    <row r="46" spans="1:12" ht="16.5">
      <c r="A46" s="29" t="s">
        <v>104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5">
        <f t="shared" si="5"/>
        <v>0</v>
      </c>
      <c r="K46" s="1"/>
      <c r="L46" s="1"/>
    </row>
    <row r="47" spans="1:12" ht="16.5">
      <c r="A47" s="16" t="s">
        <v>26</v>
      </c>
      <c r="B47" s="30">
        <f>479803.23+7997.22+10925.25+13208.65</f>
        <v>511934.35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5">
        <f t="shared" si="5"/>
        <v>511934.35</v>
      </c>
      <c r="K47" s="1"/>
      <c r="L47" s="1"/>
    </row>
    <row r="48" spans="1:12" ht="16.5">
      <c r="A48" s="22" t="s">
        <v>9</v>
      </c>
      <c r="B48" s="30">
        <f>56+112+56+56+56+112+100.8+56+56+56+56+56+56+224+56+56+56+112+56+217.25+112+56+56+112+56+56+112+112+112+168+56+112+56+168+56+56+112+56+56+56+112+280+56+112+56+56+56+56+56+224+56+112+112+56+56+56+56+56+56+56+168+168+56+56+56+56+112+56+56+280</f>
        <v>6198.05</v>
      </c>
      <c r="C48" s="30">
        <f>186.2+372.4+93.1+93.1+129.68+129.01+718.2+332.5+512.05+220.78+93.1+186.2+93.1+227.76+673.31+328.72+66.5+284.82+311.62+93.1+119.7+93.1+134.66+186.2+134.66+279.3+93.1+186.2+203.83+329.86+134+229.1+129.01+129.01+651.7+413.96+227.76+93.1+93.1+413.96+134.66+1276.8+950.95+1655.85+651.7+134.66+675.65+93.1+134.66+93.1+93.1+134.66+744.8+1032.08+164.93+129.01+837.9+134.66+93.1+134.66+300.58+129.01+186.2+263.01+186.2+129.68+134.66+93.1+93.1+93.1+226.1+95.1+526.02</f>
        <v>21176.449999999993</v>
      </c>
      <c r="D48" s="30">
        <f>88+176+88+88+88+264+176+88+88+704+264+88+704+352+88+88+176+88+88+264+88+176+88+176+440+88+440+176+176+264+88+176+88+264+176+176+176+88+88+440+264+440+88+176+88+88+88+88+88+352+176+176+176+176+88+88+176+176+88+88+88+440+352+88+88+176+88+88+176+176+88+616</f>
        <v>13552</v>
      </c>
      <c r="E48" s="30">
        <f>87.5+5845+175+1907.5+1522.5+175+122.5+2222.5+35+455+2047.5+1575+70+1697.5+140+560+210+1260+840+350+542.5+245+1470+105+140+4200+4550+157.5</f>
        <v>32707.5</v>
      </c>
      <c r="F48" s="30">
        <f>962+250.12+365.56+230.88+2231.84+6984.12+211.64+1135.16+1186.6+269.36+76.96+1789.32+192.4+76.96</f>
        <v>15962.919999999998</v>
      </c>
      <c r="G48" s="30">
        <f>31.6+2036.62+530.86</f>
        <v>2599.08</v>
      </c>
      <c r="H48" s="30">
        <f>18.66+9.33+9.33+18.66+9.33+18.66+18.66+9.33+9.33+9.33</f>
        <v>130.62</v>
      </c>
      <c r="I48" s="30">
        <v>0</v>
      </c>
      <c r="J48" s="5">
        <f t="shared" si="5"/>
        <v>92326.62</v>
      </c>
      <c r="K48" s="1"/>
      <c r="L48" s="1"/>
    </row>
    <row r="49" spans="1:12" ht="16.5">
      <c r="A49" s="22" t="s">
        <v>105</v>
      </c>
      <c r="B49" s="30">
        <v>0</v>
      </c>
      <c r="C49" s="30">
        <v>0</v>
      </c>
      <c r="D49" s="30">
        <v>0</v>
      </c>
      <c r="E49" s="30">
        <f>4545+360+1440+3600+2250+6300</f>
        <v>18495</v>
      </c>
      <c r="F49" s="30">
        <v>0</v>
      </c>
      <c r="G49" s="30">
        <v>0</v>
      </c>
      <c r="H49" s="30">
        <v>0</v>
      </c>
      <c r="I49" s="30">
        <v>0</v>
      </c>
      <c r="J49" s="5">
        <f t="shared" si="5"/>
        <v>18495</v>
      </c>
      <c r="K49" s="1"/>
      <c r="L49" s="1"/>
    </row>
    <row r="50" spans="1:12" ht="16.5">
      <c r="A50" s="22" t="s">
        <v>90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5">
        <f t="shared" si="5"/>
        <v>0</v>
      </c>
      <c r="K50" s="1"/>
      <c r="L50" s="1"/>
    </row>
    <row r="51" spans="1:12" ht="16.5">
      <c r="A51" s="16" t="s">
        <v>106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5">
        <f>285.27+263.87+91.36+24.13+168.17+793.14+112.58+12633.49+868.59+155.58+16.06</f>
        <v>15412.24</v>
      </c>
      <c r="K51" s="1"/>
      <c r="L51" s="1"/>
    </row>
    <row r="52" spans="1:12" ht="16.5">
      <c r="A52" s="16" t="s">
        <v>18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5">
        <f>50+50+88.72+50+50</f>
        <v>288.72</v>
      </c>
      <c r="K52" s="1"/>
      <c r="L52" s="1"/>
    </row>
    <row r="53" spans="1:12" ht="16.5">
      <c r="A53" s="38" t="s">
        <v>22</v>
      </c>
      <c r="B53" s="39">
        <v>0</v>
      </c>
      <c r="C53" s="39">
        <v>0</v>
      </c>
      <c r="D53" s="39">
        <v>0</v>
      </c>
      <c r="E53" s="39">
        <f>78000+295100</f>
        <v>373100</v>
      </c>
      <c r="F53" s="39">
        <v>0</v>
      </c>
      <c r="G53" s="39">
        <v>0</v>
      </c>
      <c r="H53" s="39">
        <v>0</v>
      </c>
      <c r="I53" s="39">
        <v>0</v>
      </c>
      <c r="J53" s="5">
        <f>SUM(B53:I53)</f>
        <v>373100</v>
      </c>
      <c r="K53" s="1"/>
      <c r="L53" s="1"/>
    </row>
    <row r="54" spans="1:12" ht="17.25" thickBot="1">
      <c r="A54" s="36" t="s">
        <v>10</v>
      </c>
      <c r="B54" s="23">
        <f aca="true" t="shared" si="6" ref="B54:H54">SUM(B17:B53)</f>
        <v>555474.21</v>
      </c>
      <c r="C54" s="23">
        <f t="shared" si="6"/>
        <v>237983.77000000002</v>
      </c>
      <c r="D54" s="23">
        <f t="shared" si="6"/>
        <v>415676.64</v>
      </c>
      <c r="E54" s="23">
        <f t="shared" si="6"/>
        <v>1095952.76</v>
      </c>
      <c r="F54" s="23">
        <f t="shared" si="6"/>
        <v>23177.92</v>
      </c>
      <c r="G54" s="23">
        <f t="shared" si="6"/>
        <v>2638.58</v>
      </c>
      <c r="H54" s="23">
        <f t="shared" si="6"/>
        <v>130.62</v>
      </c>
      <c r="I54" s="23">
        <f>SUM(I19:I53)</f>
        <v>0</v>
      </c>
      <c r="J54" s="32">
        <f>SUM(J17:J53)</f>
        <v>2346735.46</v>
      </c>
      <c r="K54" s="1"/>
      <c r="L54" s="1"/>
    </row>
    <row r="55" spans="1:12" ht="17.25" thickBot="1">
      <c r="A55" s="37" t="s">
        <v>159</v>
      </c>
      <c r="B55" s="24">
        <f aca="true" t="shared" si="7" ref="B55:I55">B15+B54</f>
        <v>561194.49</v>
      </c>
      <c r="C55" s="24">
        <f t="shared" si="7"/>
        <v>249692.75000000003</v>
      </c>
      <c r="D55" s="24">
        <f t="shared" si="7"/>
        <v>421488.64</v>
      </c>
      <c r="E55" s="24">
        <f t="shared" si="7"/>
        <v>1246789.81</v>
      </c>
      <c r="F55" s="24">
        <f t="shared" si="7"/>
        <v>23716.64</v>
      </c>
      <c r="G55" s="24">
        <f t="shared" si="7"/>
        <v>2638.58</v>
      </c>
      <c r="H55" s="24">
        <f t="shared" si="7"/>
        <v>130.62</v>
      </c>
      <c r="I55" s="24">
        <f t="shared" si="7"/>
        <v>0</v>
      </c>
      <c r="J55" s="25">
        <f>SUM(J54+J15)</f>
        <v>2521352.4899999998</v>
      </c>
      <c r="K55" s="1"/>
      <c r="L55" s="17"/>
    </row>
    <row r="56" spans="2:10" ht="16.5">
      <c r="B56" s="45"/>
      <c r="C56" s="45"/>
      <c r="D56" s="45"/>
      <c r="E56" s="45"/>
      <c r="J56" s="57"/>
    </row>
    <row r="57" spans="2:10" ht="16.5">
      <c r="B57" s="45"/>
      <c r="C57" s="45"/>
      <c r="D57" s="45"/>
      <c r="E57" s="33"/>
      <c r="F57" s="33"/>
      <c r="J57" s="57"/>
    </row>
    <row r="58" spans="2:10" ht="16.5">
      <c r="B58" s="33"/>
      <c r="C58" s="33"/>
      <c r="D58" s="33"/>
      <c r="E58" s="33"/>
      <c r="F58" s="33"/>
      <c r="J58" s="33"/>
    </row>
    <row r="59" spans="4:10" ht="16.5">
      <c r="D59" s="33"/>
      <c r="J59" s="33"/>
    </row>
    <row r="62" ht="16.5">
      <c r="H62" s="33"/>
    </row>
  </sheetData>
  <sheetProtection password="C1E2" sheet="1"/>
  <mergeCells count="4">
    <mergeCell ref="A3:K3"/>
    <mergeCell ref="A4:K4"/>
    <mergeCell ref="A5:K5"/>
    <mergeCell ref="A7:J7"/>
  </mergeCells>
  <printOptions horizontalCentered="1" verticalCentered="1"/>
  <pageMargins left="0.3937007874015748" right="0.11811023622047245" top="0.3937007874015748" bottom="0.3937007874015748" header="0.31496062992125984" footer="0.31496062992125984"/>
  <pageSetup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="75" zoomScaleNormal="75" zoomScalePageLayoutView="0" workbookViewId="0" topLeftCell="A1">
      <pane ySplit="12" topLeftCell="A43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89.57421875" style="7" customWidth="1"/>
    <col min="2" max="4" width="17.421875" style="7" customWidth="1"/>
    <col min="5" max="5" width="19.57421875" style="7" customWidth="1"/>
    <col min="6" max="6" width="16.140625" style="7" customWidth="1"/>
    <col min="7" max="7" width="14.57421875" style="7" customWidth="1"/>
    <col min="8" max="8" width="16.57421875" style="7" bestFit="1" customWidth="1"/>
    <col min="9" max="9" width="15.28125" style="7" bestFit="1" customWidth="1"/>
    <col min="10" max="10" width="23.7109375" style="7" bestFit="1" customWidth="1"/>
    <col min="11" max="16384" width="9.140625" style="7" customWidth="1"/>
  </cols>
  <sheetData>
    <row r="1" spans="1:11" ht="16.5">
      <c r="A1" s="1"/>
      <c r="B1" s="18" t="s">
        <v>15</v>
      </c>
      <c r="C1" s="18">
        <v>9853</v>
      </c>
      <c r="D1" s="28">
        <v>9983</v>
      </c>
      <c r="E1" s="20" t="s">
        <v>16</v>
      </c>
      <c r="F1" s="56"/>
      <c r="G1" s="26"/>
      <c r="H1" s="26"/>
      <c r="I1" s="8"/>
      <c r="J1" s="1"/>
      <c r="K1" s="1"/>
    </row>
    <row r="2" spans="1:11" ht="16.5">
      <c r="A2" s="1"/>
      <c r="B2" s="18" t="s">
        <v>17</v>
      </c>
      <c r="C2" s="19">
        <v>1570</v>
      </c>
      <c r="D2" s="8">
        <v>1596</v>
      </c>
      <c r="E2" s="20" t="s">
        <v>16</v>
      </c>
      <c r="F2" s="8">
        <v>1572</v>
      </c>
      <c r="G2" s="1"/>
      <c r="H2" s="1"/>
      <c r="I2" s="1"/>
      <c r="J2" s="1"/>
      <c r="K2" s="1"/>
    </row>
    <row r="3" spans="1:11" ht="16.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6.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6.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6.5">
      <c r="A6" s="27"/>
      <c r="B6" s="10"/>
      <c r="C6" s="10"/>
      <c r="D6" s="10"/>
      <c r="E6" s="9"/>
      <c r="F6" s="9"/>
      <c r="G6" s="9"/>
      <c r="H6" s="9"/>
      <c r="I6" s="9"/>
      <c r="J6" s="9"/>
      <c r="K6" s="9"/>
    </row>
    <row r="7" spans="1:11" ht="16.5">
      <c r="A7" s="60" t="s">
        <v>178</v>
      </c>
      <c r="B7" s="61"/>
      <c r="C7" s="61"/>
      <c r="D7" s="61"/>
      <c r="E7" s="61"/>
      <c r="F7" s="61"/>
      <c r="G7" s="61"/>
      <c r="H7" s="61"/>
      <c r="I7" s="61"/>
      <c r="J7" s="62"/>
      <c r="K7" s="1"/>
    </row>
    <row r="8" spans="1:11" ht="49.5">
      <c r="A8" s="21" t="s">
        <v>102</v>
      </c>
      <c r="B8" s="11" t="s">
        <v>0</v>
      </c>
      <c r="C8" s="11" t="s">
        <v>1</v>
      </c>
      <c r="D8" s="11" t="s">
        <v>2</v>
      </c>
      <c r="E8" s="11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3" t="s">
        <v>14</v>
      </c>
      <c r="K8" s="14"/>
    </row>
    <row r="9" spans="1:11" ht="16.5">
      <c r="A9" s="6" t="s">
        <v>11</v>
      </c>
      <c r="B9" s="2">
        <f>294+56+588</f>
        <v>938</v>
      </c>
      <c r="C9" s="2">
        <f>237.74+129.68+475.48</f>
        <v>842.9000000000001</v>
      </c>
      <c r="D9" s="2">
        <f>88+88+176</f>
        <v>352</v>
      </c>
      <c r="E9" s="2">
        <v>0</v>
      </c>
      <c r="F9" s="2">
        <f>904.28+423.28</f>
        <v>1327.56</v>
      </c>
      <c r="G9" s="2">
        <v>0</v>
      </c>
      <c r="H9" s="2">
        <v>0</v>
      </c>
      <c r="I9" s="2">
        <v>0</v>
      </c>
      <c r="J9" s="3">
        <f>SUM(B9:I9)</f>
        <v>3460.46</v>
      </c>
      <c r="K9" s="1"/>
    </row>
    <row r="10" spans="1:11" ht="16.5">
      <c r="A10" s="29" t="s">
        <v>46</v>
      </c>
      <c r="B10" s="2">
        <v>0</v>
      </c>
      <c r="C10" s="2">
        <v>0</v>
      </c>
      <c r="D10" s="2">
        <v>0</v>
      </c>
      <c r="E10" s="2">
        <f>24797.35+57665.1+87654.96+46644.02</f>
        <v>216761.43</v>
      </c>
      <c r="F10" s="2">
        <v>0</v>
      </c>
      <c r="G10" s="2">
        <v>0</v>
      </c>
      <c r="H10" s="2">
        <v>0</v>
      </c>
      <c r="I10" s="2">
        <v>0</v>
      </c>
      <c r="J10" s="3">
        <f>SUM(B10:I10)</f>
        <v>216761.43</v>
      </c>
      <c r="K10" s="1"/>
    </row>
    <row r="11" spans="1:11" ht="16.5">
      <c r="A11" s="21" t="s">
        <v>8</v>
      </c>
      <c r="B11" s="4">
        <f aca="true" t="shared" si="0" ref="B11:J11">SUM(B9:B10)</f>
        <v>938</v>
      </c>
      <c r="C11" s="4">
        <f t="shared" si="0"/>
        <v>842.9000000000001</v>
      </c>
      <c r="D11" s="4">
        <f t="shared" si="0"/>
        <v>352</v>
      </c>
      <c r="E11" s="40">
        <f t="shared" si="0"/>
        <v>216761.43</v>
      </c>
      <c r="F11" s="4">
        <f t="shared" si="0"/>
        <v>1327.56</v>
      </c>
      <c r="G11" s="4">
        <f t="shared" si="0"/>
        <v>0</v>
      </c>
      <c r="H11" s="4">
        <f t="shared" si="0"/>
        <v>0</v>
      </c>
      <c r="I11" s="4">
        <f t="shared" si="0"/>
        <v>0</v>
      </c>
      <c r="J11" s="4">
        <f t="shared" si="0"/>
        <v>220221.88999999998</v>
      </c>
      <c r="K11" s="15"/>
    </row>
    <row r="12" spans="1:11" ht="49.5">
      <c r="A12" s="21" t="s">
        <v>13</v>
      </c>
      <c r="B12" s="34" t="s">
        <v>0</v>
      </c>
      <c r="C12" s="34" t="s">
        <v>1</v>
      </c>
      <c r="D12" s="34" t="s">
        <v>2</v>
      </c>
      <c r="E12" s="34" t="s">
        <v>3</v>
      </c>
      <c r="F12" s="35" t="s">
        <v>4</v>
      </c>
      <c r="G12" s="35" t="s">
        <v>5</v>
      </c>
      <c r="H12" s="35" t="s">
        <v>6</v>
      </c>
      <c r="I12" s="35" t="s">
        <v>7</v>
      </c>
      <c r="J12" s="5" t="s">
        <v>14</v>
      </c>
      <c r="K12" s="1"/>
    </row>
    <row r="13" spans="1:11" ht="16.5">
      <c r="A13" s="6" t="s">
        <v>108</v>
      </c>
      <c r="B13" s="31">
        <f>56+112+294</f>
        <v>462</v>
      </c>
      <c r="C13" s="31">
        <f>13885.2+18513.6+801.99+4974.2+20056.4+279.3+11561.69+237.74</f>
        <v>70310.12000000001</v>
      </c>
      <c r="D13" s="31">
        <f>15414+17616+4404+12111+88+4580+1101</f>
        <v>55314</v>
      </c>
      <c r="E13" s="31">
        <f>280+70+385+105+49354.1+12854.91</f>
        <v>63049.009999999995</v>
      </c>
      <c r="F13" s="44">
        <f>384.8</f>
        <v>384.8</v>
      </c>
      <c r="G13" s="31">
        <f>66.36</f>
        <v>66.36</v>
      </c>
      <c r="H13" s="31">
        <v>0</v>
      </c>
      <c r="I13" s="31">
        <v>0</v>
      </c>
      <c r="J13" s="5">
        <f aca="true" t="shared" si="1" ref="J13:J19">SUM(B13:I13)</f>
        <v>189586.28999999998</v>
      </c>
      <c r="K13" s="1"/>
    </row>
    <row r="14" spans="1:12" ht="16.5">
      <c r="A14" s="29" t="s">
        <v>56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5">
        <f t="shared" si="1"/>
        <v>0</v>
      </c>
      <c r="K14" s="1"/>
      <c r="L14" s="1"/>
    </row>
    <row r="15" spans="1:12" ht="16.5">
      <c r="A15" s="29" t="s">
        <v>67</v>
      </c>
      <c r="B15" s="30">
        <v>0</v>
      </c>
      <c r="C15" s="30">
        <v>0</v>
      </c>
      <c r="D15" s="30">
        <v>0</v>
      </c>
      <c r="E15" s="30">
        <f>28188.4</f>
        <v>28188.4</v>
      </c>
      <c r="F15" s="30">
        <v>0</v>
      </c>
      <c r="G15" s="30">
        <v>0</v>
      </c>
      <c r="H15" s="30">
        <v>0</v>
      </c>
      <c r="I15" s="30">
        <v>0</v>
      </c>
      <c r="J15" s="5">
        <f t="shared" si="1"/>
        <v>28188.4</v>
      </c>
      <c r="K15" s="1"/>
      <c r="L15" s="1"/>
    </row>
    <row r="16" spans="1:12" ht="16.5">
      <c r="A16" s="29" t="s">
        <v>73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5">
        <f t="shared" si="1"/>
        <v>0</v>
      </c>
      <c r="K16" s="1"/>
      <c r="L16" s="1"/>
    </row>
    <row r="17" spans="1:12" ht="16.5">
      <c r="A17" s="29" t="s">
        <v>134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5">
        <f t="shared" si="1"/>
        <v>0</v>
      </c>
      <c r="K17" s="1"/>
      <c r="L17" s="1"/>
    </row>
    <row r="18" spans="1:12" ht="16.5">
      <c r="A18" s="29" t="s">
        <v>98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5">
        <f t="shared" si="1"/>
        <v>0</v>
      </c>
      <c r="K18" s="1"/>
      <c r="L18" s="1"/>
    </row>
    <row r="19" spans="1:12" ht="16.5">
      <c r="A19" s="29" t="s">
        <v>99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5">
        <f t="shared" si="1"/>
        <v>0</v>
      </c>
      <c r="K19" s="1"/>
      <c r="L19" s="1"/>
    </row>
    <row r="20" spans="1:12" ht="16.5">
      <c r="A20" s="47" t="s">
        <v>109</v>
      </c>
      <c r="B20" s="30">
        <v>0</v>
      </c>
      <c r="C20" s="30">
        <v>0</v>
      </c>
      <c r="D20" s="30">
        <v>0</v>
      </c>
      <c r="E20" s="30">
        <f>2834.52+462.83</f>
        <v>3297.35</v>
      </c>
      <c r="F20" s="30">
        <v>0</v>
      </c>
      <c r="G20" s="30">
        <v>0</v>
      </c>
      <c r="H20" s="30">
        <v>0</v>
      </c>
      <c r="I20" s="30">
        <v>0</v>
      </c>
      <c r="J20" s="5">
        <f aca="true" t="shared" si="2" ref="J20:J26">SUM(B20:I20)</f>
        <v>3297.35</v>
      </c>
      <c r="K20" s="1"/>
      <c r="L20" s="1"/>
    </row>
    <row r="21" spans="1:12" ht="16.5">
      <c r="A21" s="47" t="s">
        <v>113</v>
      </c>
      <c r="B21" s="30">
        <v>0</v>
      </c>
      <c r="C21" s="30">
        <v>0</v>
      </c>
      <c r="D21" s="30">
        <v>0</v>
      </c>
      <c r="E21" s="30">
        <f>3894.25</f>
        <v>3894.25</v>
      </c>
      <c r="F21" s="30">
        <v>0</v>
      </c>
      <c r="G21" s="30">
        <v>0</v>
      </c>
      <c r="H21" s="30">
        <v>0</v>
      </c>
      <c r="I21" s="30">
        <v>0</v>
      </c>
      <c r="J21" s="5">
        <f t="shared" si="2"/>
        <v>3894.25</v>
      </c>
      <c r="K21" s="1"/>
      <c r="L21" s="1"/>
    </row>
    <row r="22" spans="1:12" ht="16.5">
      <c r="A22" s="47" t="s">
        <v>115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5">
        <f t="shared" si="2"/>
        <v>0</v>
      </c>
      <c r="K22" s="1"/>
      <c r="L22" s="1"/>
    </row>
    <row r="23" spans="1:10" ht="16.5">
      <c r="A23" s="54" t="s">
        <v>119</v>
      </c>
      <c r="B23" s="42">
        <v>0</v>
      </c>
      <c r="C23" s="42">
        <v>0</v>
      </c>
      <c r="D23" s="42">
        <v>0</v>
      </c>
      <c r="E23" s="42">
        <f>8105.93</f>
        <v>8105.93</v>
      </c>
      <c r="F23" s="42">
        <v>0</v>
      </c>
      <c r="G23" s="42">
        <v>0</v>
      </c>
      <c r="H23" s="42">
        <v>0</v>
      </c>
      <c r="I23" s="42">
        <v>0</v>
      </c>
      <c r="J23" s="43">
        <f t="shared" si="2"/>
        <v>8105.93</v>
      </c>
    </row>
    <row r="24" spans="1:10" ht="16.5">
      <c r="A24" s="54" t="s">
        <v>124</v>
      </c>
      <c r="B24" s="42">
        <v>0</v>
      </c>
      <c r="C24" s="42">
        <v>0</v>
      </c>
      <c r="D24" s="42">
        <v>0</v>
      </c>
      <c r="E24" s="42">
        <f>1738.5</f>
        <v>1738.5</v>
      </c>
      <c r="F24" s="42">
        <v>0</v>
      </c>
      <c r="G24" s="42">
        <v>0</v>
      </c>
      <c r="H24" s="42">
        <v>0</v>
      </c>
      <c r="I24" s="42">
        <v>0</v>
      </c>
      <c r="J24" s="43">
        <f t="shared" si="2"/>
        <v>1738.5</v>
      </c>
    </row>
    <row r="25" spans="1:10" ht="16.5">
      <c r="A25" s="54" t="s">
        <v>144</v>
      </c>
      <c r="B25" s="42">
        <v>0</v>
      </c>
      <c r="C25" s="42">
        <v>0</v>
      </c>
      <c r="D25" s="42">
        <v>0</v>
      </c>
      <c r="E25" s="42">
        <f>10311.84+12373.9</f>
        <v>22685.739999999998</v>
      </c>
      <c r="F25" s="42">
        <v>0</v>
      </c>
      <c r="G25" s="42">
        <v>0</v>
      </c>
      <c r="H25" s="42">
        <v>0</v>
      </c>
      <c r="I25" s="42">
        <v>0</v>
      </c>
      <c r="J25" s="43">
        <f t="shared" si="2"/>
        <v>22685.739999999998</v>
      </c>
    </row>
    <row r="26" spans="1:10" ht="16.5">
      <c r="A26" s="54" t="s">
        <v>145</v>
      </c>
      <c r="B26" s="42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3">
        <f t="shared" si="2"/>
        <v>0</v>
      </c>
    </row>
    <row r="27" spans="1:10" ht="16.5">
      <c r="A27" s="54" t="s">
        <v>154</v>
      </c>
      <c r="B27" s="42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3">
        <f>SUM(B27:I27)</f>
        <v>0</v>
      </c>
    </row>
    <row r="28" spans="1:10" ht="16.5">
      <c r="A28" s="54" t="s">
        <v>163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3">
        <f>SUM(B28:I28)</f>
        <v>0</v>
      </c>
    </row>
    <row r="29" spans="1:10" ht="16.5">
      <c r="A29" s="54" t="s">
        <v>155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3">
        <f>SUM(B29:I29)</f>
        <v>0</v>
      </c>
    </row>
    <row r="30" spans="1:10" ht="16.5">
      <c r="A30" s="54" t="s">
        <v>157</v>
      </c>
      <c r="B30" s="42">
        <v>0</v>
      </c>
      <c r="C30" s="42">
        <v>0</v>
      </c>
      <c r="D30" s="42">
        <v>0</v>
      </c>
      <c r="E30" s="42">
        <f>44268+34038</f>
        <v>78306</v>
      </c>
      <c r="F30" s="42">
        <v>0</v>
      </c>
      <c r="G30" s="42">
        <v>0</v>
      </c>
      <c r="H30" s="42">
        <v>0</v>
      </c>
      <c r="I30" s="42">
        <v>0</v>
      </c>
      <c r="J30" s="43">
        <f aca="true" t="shared" si="3" ref="J30:J43">SUM(B30:I30)</f>
        <v>78306</v>
      </c>
    </row>
    <row r="31" spans="1:10" ht="16.5">
      <c r="A31" s="58" t="s">
        <v>172</v>
      </c>
      <c r="B31" s="42">
        <v>0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3">
        <f t="shared" si="3"/>
        <v>0</v>
      </c>
    </row>
    <row r="32" spans="1:10" ht="16.5">
      <c r="A32" s="54" t="s">
        <v>173</v>
      </c>
      <c r="B32" s="42">
        <v>0</v>
      </c>
      <c r="C32" s="42">
        <v>0</v>
      </c>
      <c r="D32" s="42">
        <v>0</v>
      </c>
      <c r="E32" s="42">
        <f>23117.8+238.53</f>
        <v>23356.329999999998</v>
      </c>
      <c r="F32" s="42">
        <v>0</v>
      </c>
      <c r="G32" s="42">
        <v>0</v>
      </c>
      <c r="H32" s="42">
        <v>0</v>
      </c>
      <c r="I32" s="42">
        <v>0</v>
      </c>
      <c r="J32" s="43">
        <f t="shared" si="3"/>
        <v>23356.329999999998</v>
      </c>
    </row>
    <row r="33" spans="1:10" ht="16.5">
      <c r="A33" s="54" t="s">
        <v>174</v>
      </c>
      <c r="B33" s="42">
        <v>0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3">
        <f t="shared" si="3"/>
        <v>0</v>
      </c>
    </row>
    <row r="34" spans="1:10" ht="16.5">
      <c r="A34" s="54" t="s">
        <v>175</v>
      </c>
      <c r="B34" s="42">
        <v>0</v>
      </c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3">
        <f t="shared" si="3"/>
        <v>0</v>
      </c>
    </row>
    <row r="35" spans="1:10" ht="16.5">
      <c r="A35" s="54" t="s">
        <v>177</v>
      </c>
      <c r="B35" s="42">
        <f>56</f>
        <v>56</v>
      </c>
      <c r="C35" s="42">
        <v>0</v>
      </c>
      <c r="D35" s="42">
        <f>88</f>
        <v>88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3">
        <f>SUM(B35:I35)</f>
        <v>144</v>
      </c>
    </row>
    <row r="36" spans="1:10" ht="16.5">
      <c r="A36" s="54" t="s">
        <v>180</v>
      </c>
      <c r="B36" s="42">
        <f>4083.66+112</f>
        <v>4195.66</v>
      </c>
      <c r="C36" s="42">
        <f>22717.73</f>
        <v>22717.73</v>
      </c>
      <c r="D36" s="42">
        <f>74885+440</f>
        <v>75325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3">
        <f>SUM(B36:I36)</f>
        <v>102238.39</v>
      </c>
    </row>
    <row r="37" spans="1:10" ht="16.5">
      <c r="A37" s="54" t="s">
        <v>181</v>
      </c>
      <c r="B37" s="42">
        <f>2689.29</f>
        <v>2689.29</v>
      </c>
      <c r="C37" s="42">
        <f>3750.6</f>
        <v>3750.6</v>
      </c>
      <c r="D37" s="42">
        <f>4405</f>
        <v>4405</v>
      </c>
      <c r="E37" s="42">
        <f>27900</f>
        <v>27900</v>
      </c>
      <c r="F37" s="42">
        <v>0</v>
      </c>
      <c r="G37" s="42">
        <v>0</v>
      </c>
      <c r="H37" s="42">
        <v>0</v>
      </c>
      <c r="I37" s="42">
        <v>0</v>
      </c>
      <c r="J37" s="43">
        <f>SUM(B37:I37)</f>
        <v>38744.89</v>
      </c>
    </row>
    <row r="38" spans="1:10" ht="16.5">
      <c r="A38" s="54" t="s">
        <v>182</v>
      </c>
      <c r="B38" s="42">
        <f>6991.2</f>
        <v>6991.2</v>
      </c>
      <c r="C38" s="42">
        <f>27927.21</f>
        <v>27927.21</v>
      </c>
      <c r="D38" s="42">
        <f>50414.5</f>
        <v>50414.5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3">
        <f>SUM(B38:I38)</f>
        <v>85332.91</v>
      </c>
    </row>
    <row r="39" spans="1:12" ht="16.5">
      <c r="A39" s="29" t="s">
        <v>104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5">
        <f t="shared" si="3"/>
        <v>0</v>
      </c>
      <c r="K39" s="1"/>
      <c r="L39" s="1"/>
    </row>
    <row r="40" spans="1:12" ht="16.5">
      <c r="A40" s="16" t="s">
        <v>26</v>
      </c>
      <c r="B40" s="30">
        <f>488383.63+10567.75+10602.25+10226.63</f>
        <v>519780.26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5">
        <f t="shared" si="3"/>
        <v>519780.26</v>
      </c>
      <c r="K40" s="1"/>
      <c r="L40" s="1"/>
    </row>
    <row r="41" spans="1:12" ht="16.5">
      <c r="A41" s="22" t="s">
        <v>9</v>
      </c>
      <c r="B41" s="30">
        <f>840+56+224+56+112+56+56+56+56+56+56+56+56+355.6+56+56+56+280+56+56+56+56+56+56+112+56+56+56+56+112+56+56+112+56+56+168+112+56+112+422.1+224+56+112+56+56+56+56+56+56+56+56+56+422.1+56+56+112+56+56</f>
        <v>6183.800000000001</v>
      </c>
      <c r="C41" s="30">
        <f>1552.45+69.16+263.01+129.01+227.76+2154.6+365.75+199.83+158.94+39.9+132.33+66.5+186.2+134+69.16+190.86+93.1+93.1+93.1+397.01+134.66+93.1+155.81+93.1+465.5+93.1+129.01+95.1+134.66+1876.63+438.9+2713.2+186.2+93.1+258.02+134.66+194.84+1457.69+66.5+66.5+133+95.1+134+279.3+205.49+397.01+129.01+134.66+134.66+93.1+93.1+134.66+134.66+56.53+74.48+375.74+134.66+205.49+134.66+93.1+113.05+269.33+129.01+794.68</f>
        <v>19974.529999999995</v>
      </c>
      <c r="D41" s="30">
        <f>1408+88+352+88+176+88+88+88+88+88+88+88+88+88+88+88+88+88+704+88+176+176+88+528+88+176+88+88+264+88+176+88+88+176+88+88+264+176+88+176+88+616+88+176+176+176+176+352+176+88+176+264+176+88+88+88+88+88+88+88+176+88+88</f>
        <v>10912</v>
      </c>
      <c r="E41" s="30">
        <f>700+1120+10395+35+717.5+35+35+4256+770+1487.5+420+210+210+35+70+280+1400+210+315+105+217+35</f>
        <v>23058</v>
      </c>
      <c r="F41" s="30">
        <f>38.48+96.2+6349.2+3116.88+269.36+153.92+76.96+134.68+1428.04+250.12+153.92</f>
        <v>12067.760000000002</v>
      </c>
      <c r="G41" s="30">
        <f>1832.8+515.32</f>
        <v>2348.12</v>
      </c>
      <c r="H41" s="30">
        <f>55.98+9.33+9.33+9.33+9.33+9.33+9.33+9.33+18.66</f>
        <v>139.95</v>
      </c>
      <c r="I41" s="30">
        <f>260.64</f>
        <v>260.64</v>
      </c>
      <c r="J41" s="5">
        <f>SUM(B41:I41)</f>
        <v>74944.79999999999</v>
      </c>
      <c r="K41" s="1"/>
      <c r="L41" s="1"/>
    </row>
    <row r="42" spans="1:12" ht="16.5">
      <c r="A42" s="22" t="s">
        <v>105</v>
      </c>
      <c r="B42" s="30">
        <v>0</v>
      </c>
      <c r="C42" s="30">
        <v>0</v>
      </c>
      <c r="D42" s="30">
        <v>0</v>
      </c>
      <c r="E42" s="30">
        <f>4545+360+1440+3600+2475+6300+225</f>
        <v>18945</v>
      </c>
      <c r="F42" s="30">
        <v>0</v>
      </c>
      <c r="G42" s="30">
        <v>0</v>
      </c>
      <c r="H42" s="30">
        <v>0</v>
      </c>
      <c r="I42" s="30">
        <v>0</v>
      </c>
      <c r="J42" s="5">
        <f t="shared" si="3"/>
        <v>18945</v>
      </c>
      <c r="K42" s="1"/>
      <c r="L42" s="1"/>
    </row>
    <row r="43" spans="1:12" ht="16.5">
      <c r="A43" s="22" t="s">
        <v>90</v>
      </c>
      <c r="B43" s="3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5">
        <f t="shared" si="3"/>
        <v>0</v>
      </c>
      <c r="K43" s="1"/>
      <c r="L43" s="1"/>
    </row>
    <row r="44" spans="1:12" ht="16.5">
      <c r="A44" s="16" t="s">
        <v>106</v>
      </c>
      <c r="B44" s="30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5">
        <f>129.82+138.85+0.08+47.88+636.15+138.78+49.42+0.07</f>
        <v>1141.05</v>
      </c>
      <c r="K44" s="1"/>
      <c r="L44" s="1"/>
    </row>
    <row r="45" spans="1:12" ht="16.5">
      <c r="A45" s="16" t="s">
        <v>18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5">
        <f>50+50+88.72+50+250</f>
        <v>488.72</v>
      </c>
      <c r="K45" s="1"/>
      <c r="L45" s="1"/>
    </row>
    <row r="46" spans="1:12" ht="16.5">
      <c r="A46" s="38" t="s">
        <v>22</v>
      </c>
      <c r="B46" s="39">
        <v>0</v>
      </c>
      <c r="C46" s="39">
        <v>0</v>
      </c>
      <c r="D46" s="39">
        <v>0</v>
      </c>
      <c r="E46" s="39">
        <f>78000+295100</f>
        <v>373100</v>
      </c>
      <c r="F46" s="39">
        <v>0</v>
      </c>
      <c r="G46" s="39">
        <v>0</v>
      </c>
      <c r="H46" s="39">
        <v>0</v>
      </c>
      <c r="I46" s="39">
        <v>0</v>
      </c>
      <c r="J46" s="5">
        <f>SUM(B46:I46)</f>
        <v>373100</v>
      </c>
      <c r="K46" s="1"/>
      <c r="L46" s="1"/>
    </row>
    <row r="47" spans="1:12" ht="17.25" thickBot="1">
      <c r="A47" s="36" t="s">
        <v>10</v>
      </c>
      <c r="B47" s="23">
        <f aca="true" t="shared" si="4" ref="B47:H47">SUM(B13:B46)</f>
        <v>540358.2100000001</v>
      </c>
      <c r="C47" s="23">
        <f t="shared" si="4"/>
        <v>144680.19</v>
      </c>
      <c r="D47" s="23">
        <f t="shared" si="4"/>
        <v>196458.5</v>
      </c>
      <c r="E47" s="23">
        <f t="shared" si="4"/>
        <v>675624.51</v>
      </c>
      <c r="F47" s="23">
        <f t="shared" si="4"/>
        <v>12452.560000000001</v>
      </c>
      <c r="G47" s="23">
        <f t="shared" si="4"/>
        <v>2414.48</v>
      </c>
      <c r="H47" s="23">
        <f t="shared" si="4"/>
        <v>139.95</v>
      </c>
      <c r="I47" s="23">
        <f>SUM(I14:I46)</f>
        <v>260.64</v>
      </c>
      <c r="J47" s="32">
        <f>SUM(J13:J46)</f>
        <v>1574018.81</v>
      </c>
      <c r="K47" s="1"/>
      <c r="L47" s="1"/>
    </row>
    <row r="48" spans="1:12" ht="17.25" thickBot="1">
      <c r="A48" s="37" t="s">
        <v>179</v>
      </c>
      <c r="B48" s="24">
        <f aca="true" t="shared" si="5" ref="B48:I48">B11+B47</f>
        <v>541296.2100000001</v>
      </c>
      <c r="C48" s="24">
        <f t="shared" si="5"/>
        <v>145523.09</v>
      </c>
      <c r="D48" s="24">
        <f t="shared" si="5"/>
        <v>196810.5</v>
      </c>
      <c r="E48" s="24">
        <f t="shared" si="5"/>
        <v>892385.94</v>
      </c>
      <c r="F48" s="24">
        <f t="shared" si="5"/>
        <v>13780.12</v>
      </c>
      <c r="G48" s="24">
        <f t="shared" si="5"/>
        <v>2414.48</v>
      </c>
      <c r="H48" s="24">
        <f t="shared" si="5"/>
        <v>139.95</v>
      </c>
      <c r="I48" s="24">
        <f t="shared" si="5"/>
        <v>260.64</v>
      </c>
      <c r="J48" s="25">
        <f>SUM(J47+J11)</f>
        <v>1794240.7</v>
      </c>
      <c r="K48" s="1"/>
      <c r="L48" s="17"/>
    </row>
    <row r="49" spans="2:10" ht="16.5">
      <c r="B49" s="45"/>
      <c r="C49" s="45"/>
      <c r="D49" s="45"/>
      <c r="E49" s="45"/>
      <c r="J49" s="57"/>
    </row>
    <row r="50" spans="2:10" ht="16.5">
      <c r="B50" s="45"/>
      <c r="C50" s="45"/>
      <c r="D50" s="45"/>
      <c r="E50" s="33"/>
      <c r="F50" s="33"/>
      <c r="J50" s="57"/>
    </row>
    <row r="51" spans="2:10" ht="16.5">
      <c r="B51" s="33"/>
      <c r="C51" s="33"/>
      <c r="D51" s="33"/>
      <c r="E51" s="33"/>
      <c r="F51" s="33"/>
      <c r="J51" s="33"/>
    </row>
    <row r="52" spans="4:10" ht="16.5">
      <c r="D52" s="33"/>
      <c r="J52" s="33"/>
    </row>
    <row r="55" ht="16.5">
      <c r="H55" s="33"/>
    </row>
  </sheetData>
  <sheetProtection password="C1E2" sheet="1"/>
  <mergeCells count="4">
    <mergeCell ref="A3:K3"/>
    <mergeCell ref="A4:K4"/>
    <mergeCell ref="A5:K5"/>
    <mergeCell ref="A7:J7"/>
  </mergeCells>
  <printOptions horizontalCentered="1" verticalCentered="1"/>
  <pageMargins left="0.3937007874015748" right="0.11811023622047245" top="0.7874015748031497" bottom="0.1968503937007874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</dc:creator>
  <cp:keywords/>
  <dc:description/>
  <cp:lastModifiedBy>josue.fortunato</cp:lastModifiedBy>
  <cp:lastPrinted>2014-01-07T17:25:23Z</cp:lastPrinted>
  <dcterms:created xsi:type="dcterms:W3CDTF">2009-02-02T12:31:28Z</dcterms:created>
  <dcterms:modified xsi:type="dcterms:W3CDTF">2014-01-08T10:59:09Z</dcterms:modified>
  <cp:category/>
  <cp:version/>
  <cp:contentType/>
  <cp:contentStatus/>
</cp:coreProperties>
</file>